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bell\Desktop\Temp\"/>
    </mc:Choice>
  </mc:AlternateContent>
  <xr:revisionPtr revIDLastSave="0" documentId="8_{6A177EDD-3418-4EC9-8681-6EEE4E296FA8}" xr6:coauthVersionLast="43" xr6:coauthVersionMax="43" xr10:uidLastSave="{00000000-0000-0000-0000-000000000000}"/>
  <bookViews>
    <workbookView xWindow="38280" yWindow="-120" windowWidth="29040" windowHeight="15990" tabRatio="788" xr2:uid="{00000000-000D-0000-FFFF-FFFF00000000}"/>
  </bookViews>
  <sheets>
    <sheet name="BAE" sheetId="3" r:id="rId1"/>
    <sheet name="Barge" sheetId="4" r:id="rId2"/>
    <sheet name="C1" sheetId="5" r:id="rId3"/>
    <sheet name="C2" sheetId="6" r:id="rId4"/>
    <sheet name="C3" sheetId="7" r:id="rId5"/>
    <sheet name="C4" sheetId="8" r:id="rId6"/>
    <sheet name="Cent" sheetId="9" r:id="rId7"/>
    <sheet name="CPF" sheetId="10" r:id="rId8"/>
    <sheet name="D1" sheetId="11" r:id="rId9"/>
    <sheet name="E" sheetId="12" r:id="rId10"/>
    <sheet name="DS" sheetId="13" r:id="rId11"/>
    <sheet name="US" sheetId="14" r:id="rId12"/>
    <sheet name="LT1" sheetId="15" r:id="rId13"/>
    <sheet name="NPM" sheetId="16" r:id="rId14"/>
    <sheet name="P16" sheetId="24" r:id="rId15"/>
    <sheet name="P17" sheetId="26" r:id="rId16"/>
    <sheet name="P32" sheetId="27" r:id="rId17"/>
    <sheet name="P33" sheetId="28" r:id="rId18"/>
    <sheet name="P34" sheetId="29" r:id="rId19"/>
    <sheet name="P35" sheetId="30" r:id="rId20"/>
    <sheet name="P36" sheetId="31" r:id="rId21"/>
    <sheet name="P37" sheetId="32" r:id="rId22"/>
    <sheet name="P38" sheetId="33" r:id="rId23"/>
    <sheet name="P40" sheetId="34" r:id="rId24"/>
    <sheet name="P41" sheetId="35" r:id="rId25"/>
    <sheet name="P43" sheetId="36" r:id="rId26"/>
    <sheet name="P44" sheetId="37" r:id="rId27"/>
    <sheet name="RT" sheetId="39" r:id="rId28"/>
    <sheet name="RTE" sheetId="40" r:id="rId29"/>
    <sheet name="RTW" sheetId="41" r:id="rId30"/>
    <sheet name="Sun" sheetId="42" r:id="rId31"/>
    <sheet name="U-SS" sheetId="43" r:id="rId32"/>
    <sheet name="W1" sheetId="38" r:id="rId33"/>
    <sheet name="W3" sheetId="18" r:id="rId34"/>
    <sheet name="W4" sheetId="19" r:id="rId35"/>
    <sheet name="W5" sheetId="20" r:id="rId36"/>
    <sheet name="W6" sheetId="21" r:id="rId37"/>
    <sheet name="W7" sheetId="22" r:id="rId38"/>
    <sheet name="W8" sheetId="23" r:id="rId39"/>
    <sheet name="W11" sheetId="17" r:id="rId40"/>
    <sheet name="W1000" sheetId="44" r:id="rId41"/>
    <sheet name="1100" sheetId="45" r:id="rId42"/>
    <sheet name="Day flow" sheetId="46" r:id="rId43"/>
    <sheet name="5day" sheetId="47" r:id="rId44"/>
  </sheets>
  <definedNames>
    <definedName name="_xlnm.Print_Area" localSheetId="41">'1100'!$B$1:$C$19</definedName>
    <definedName name="_xlnm.Print_Area" localSheetId="43">'5day'!$A$1:$F$268</definedName>
    <definedName name="_xlnm.Print_Area" localSheetId="0">BAE!$B$1:$O$53</definedName>
    <definedName name="_xlnm.Print_Area" localSheetId="1">Barge!$B$1:$Q$21</definedName>
    <definedName name="_xlnm.Print_Area" localSheetId="2">'C1'!$B$1:$T$13</definedName>
    <definedName name="_xlnm.Print_Area" localSheetId="3">'C2'!$B$1:$AF$23</definedName>
    <definedName name="_xlnm.Print_Area" localSheetId="4">'C3'!$B$1:$AG$22</definedName>
    <definedName name="_xlnm.Print_Area" localSheetId="5">'C4'!$B$1:$S$22</definedName>
    <definedName name="_xlnm.Print_Area" localSheetId="6">Cent!$B$1:$O$22</definedName>
    <definedName name="_xlnm.Print_Area" localSheetId="7">CPF!$B$1:$T$8</definedName>
    <definedName name="_xlnm.Print_Area" localSheetId="8">'D1'!$B$1:$Z$15</definedName>
    <definedName name="_xlnm.Print_Area" localSheetId="42">'Day flow'!$A$1:$H$374</definedName>
    <definedName name="_xlnm.Print_Area" localSheetId="10">DS!$B$1:$AN$22</definedName>
    <definedName name="_xlnm.Print_Area" localSheetId="9">E!$B$1:$O$22</definedName>
    <definedName name="_xlnm.Print_Area" localSheetId="12">'LT1'!$B$1:$W$37</definedName>
    <definedName name="_xlnm.Print_Area" localSheetId="13">NPM!$B$1:$AE$63</definedName>
    <definedName name="_xlnm.Print_Area" localSheetId="14">'P16'!$B$1:$P$15</definedName>
    <definedName name="_xlnm.Print_Area" localSheetId="15">'P17'!$B$1:$P$15</definedName>
    <definedName name="_xlnm.Print_Area" localSheetId="16">'P32'!$B$1:$P$14</definedName>
    <definedName name="_xlnm.Print_Area" localSheetId="17">'P33'!$B$1:$P$14</definedName>
    <definedName name="_xlnm.Print_Area" localSheetId="18">'P34'!$B$1:$P$14</definedName>
    <definedName name="_xlnm.Print_Area" localSheetId="19">'P35'!$B$1:$P$14</definedName>
    <definedName name="_xlnm.Print_Area" localSheetId="20">'P36'!$B$1:$P$10</definedName>
    <definedName name="_xlnm.Print_Area" localSheetId="21">'P37'!$B$1:$P$14</definedName>
    <definedName name="_xlnm.Print_Area" localSheetId="22">'P38'!$B$1:$P$14</definedName>
    <definedName name="_xlnm.Print_Area" localSheetId="23">'P40'!$B$1:$P$14</definedName>
    <definedName name="_xlnm.Print_Area" localSheetId="24">'P41'!$B$1:$P$14</definedName>
    <definedName name="_xlnm.Print_Area" localSheetId="25">'P43'!$B$1:$P$14</definedName>
    <definedName name="_xlnm.Print_Area" localSheetId="26">'P44'!$B$1:$P$15</definedName>
    <definedName name="_xlnm.Print_Area" localSheetId="27">RT!$B$1:$AF$22</definedName>
    <definedName name="_xlnm.Print_Area" localSheetId="28">RTE!$B$1:$T$15</definedName>
    <definedName name="_xlnm.Print_Area" localSheetId="29">RTW!$B$1:$AG$14</definedName>
    <definedName name="_xlnm.Print_Area" localSheetId="30">Sun!$B$1:$T$23</definedName>
    <definedName name="_xlnm.Print_Area" localSheetId="11">US!$B$1:$U$22</definedName>
    <definedName name="_xlnm.Print_Area" localSheetId="31">'U-SS'!$B$1:$T$6</definedName>
    <definedName name="_xlnm.Print_Area" localSheetId="32">'W1'!$B$1:$R$22</definedName>
    <definedName name="_xlnm.Print_Area" localSheetId="40">'W1000'!$B$1:$C$19</definedName>
    <definedName name="_xlnm.Print_Area" localSheetId="39">'W11'!$B$1:$P$23</definedName>
    <definedName name="_xlnm.Print_Area" localSheetId="33">'W3'!$B$1:$P$23</definedName>
    <definedName name="_xlnm.Print_Area" localSheetId="34">'W4'!$B$1:$P$23</definedName>
    <definedName name="_xlnm.Print_Area" localSheetId="35">'W5'!$B$1:$P$22</definedName>
    <definedName name="_xlnm.Print_Area" localSheetId="36">'W6'!$B$1:$P$23</definedName>
    <definedName name="_xlnm.Print_Area" localSheetId="37">'W7'!$B$1:$P$22</definedName>
    <definedName name="_xlnm.Print_Area" localSheetId="38">'W8'!$B$1:$P$23</definedName>
    <definedName name="_xlnm.Print_Titles" localSheetId="41">'1100'!$B:$B,'1100'!$1:$1</definedName>
    <definedName name="_xlnm.Print_Titles" localSheetId="43">'5day'!$A:$A,'5day'!$1:$1</definedName>
    <definedName name="_xlnm.Print_Titles" localSheetId="0">BAE!$B:$B,BAE!$1:$1</definedName>
    <definedName name="_xlnm.Print_Titles" localSheetId="1">Barge!$B:$B,Barge!$1:$1</definedName>
    <definedName name="_xlnm.Print_Titles" localSheetId="2">'C1'!$B:$B,'C1'!$1:$1</definedName>
    <definedName name="_xlnm.Print_Titles" localSheetId="3">'C2'!$B:$B,'C2'!$1:$1</definedName>
    <definedName name="_xlnm.Print_Titles" localSheetId="4">'C3'!$B:$B,'C3'!$1:$1</definedName>
    <definedName name="_xlnm.Print_Titles" localSheetId="5">'C4'!$B:$B,'C4'!$1:$1</definedName>
    <definedName name="_xlnm.Print_Titles" localSheetId="6">Cent!$B:$B,Cent!$1:$1</definedName>
    <definedName name="_xlnm.Print_Titles" localSheetId="7">CPF!$B:$B,CPF!$1:$1</definedName>
    <definedName name="_xlnm.Print_Titles" localSheetId="8">'D1'!$B:$B,'D1'!$1:$1</definedName>
    <definedName name="_xlnm.Print_Titles" localSheetId="42">'Day flow'!$A:$A,'Day flow'!$1:$1</definedName>
    <definedName name="_xlnm.Print_Titles" localSheetId="10">DS!$B:$B,DS!$1:$1</definedName>
    <definedName name="_xlnm.Print_Titles" localSheetId="9">E!$B:$B,E!$1:$1</definedName>
    <definedName name="_xlnm.Print_Titles" localSheetId="12">'LT1'!$B:$B,'LT1'!$1:$1</definedName>
    <definedName name="_xlnm.Print_Titles" localSheetId="13">NPM!$B:$B,NPM!$1:$1</definedName>
    <definedName name="_xlnm.Print_Titles" localSheetId="14">'P16'!$B:$B,'P16'!$1:$1</definedName>
    <definedName name="_xlnm.Print_Titles" localSheetId="15">'P17'!$B:$B,'P17'!$1:$1</definedName>
    <definedName name="_xlnm.Print_Titles" localSheetId="16">'P32'!$B:$B,'P32'!$1:$1</definedName>
    <definedName name="_xlnm.Print_Titles" localSheetId="17">'P33'!$B:$B,'P33'!$1:$1</definedName>
    <definedName name="_xlnm.Print_Titles" localSheetId="18">'P34'!$B:$B,'P34'!$1:$1</definedName>
    <definedName name="_xlnm.Print_Titles" localSheetId="19">'P35'!$B:$B,'P35'!$1:$1</definedName>
    <definedName name="_xlnm.Print_Titles" localSheetId="20">'P36'!$B:$B,'P36'!$1:$1</definedName>
    <definedName name="_xlnm.Print_Titles" localSheetId="21">'P37'!$B:$B,'P37'!$1:$1</definedName>
    <definedName name="_xlnm.Print_Titles" localSheetId="22">'P38'!$B:$B,'P38'!$1:$1</definedName>
    <definedName name="_xlnm.Print_Titles" localSheetId="23">'P40'!$B:$B,'P40'!$1:$1</definedName>
    <definedName name="_xlnm.Print_Titles" localSheetId="24">'P41'!$B:$B,'P41'!$1:$1</definedName>
    <definedName name="_xlnm.Print_Titles" localSheetId="25">'P43'!$B:$B,'P43'!$1:$1</definedName>
    <definedName name="_xlnm.Print_Titles" localSheetId="26">'P44'!$B:$B,'P44'!$1:$1</definedName>
    <definedName name="_xlnm.Print_Titles" localSheetId="27">RT!$B:$B,RT!$1:$1</definedName>
    <definedName name="_xlnm.Print_Titles" localSheetId="28">RTE!$B:$B,RTE!$1:$1</definedName>
    <definedName name="_xlnm.Print_Titles" localSheetId="29">RTW!$B:$B,RTW!$1:$1</definedName>
    <definedName name="_xlnm.Print_Titles" localSheetId="30">Sun!$B:$B,Sun!$1:$1</definedName>
    <definedName name="_xlnm.Print_Titles" localSheetId="11">US!$B:$B,US!$1:$1</definedName>
    <definedName name="_xlnm.Print_Titles" localSheetId="31">'U-SS'!$B:$B,'U-SS'!$1:$1</definedName>
    <definedName name="_xlnm.Print_Titles" localSheetId="32">'W1'!$B:$B,'W1'!$1:$1</definedName>
    <definedName name="_xlnm.Print_Titles" localSheetId="40">'W1000'!$B:$B,'W1000'!$1:$1</definedName>
    <definedName name="_xlnm.Print_Titles" localSheetId="39">'W11'!$B:$B,'W11'!$1:$1</definedName>
    <definedName name="_xlnm.Print_Titles" localSheetId="33">'W3'!$B:$B,'W3'!$1:$1</definedName>
    <definedName name="_xlnm.Print_Titles" localSheetId="34">'W4'!$B:$B,'W4'!$1:$1</definedName>
    <definedName name="_xlnm.Print_Titles" localSheetId="35">'W5'!$B:$B,'W5'!$1:$1</definedName>
    <definedName name="_xlnm.Print_Titles" localSheetId="36">'W6'!$B:$B,'W6'!$1:$1</definedName>
    <definedName name="_xlnm.Print_Titles" localSheetId="37">'W7'!$B:$B,'W7'!$1:$1</definedName>
    <definedName name="_xlnm.Print_Titles" localSheetId="38">'W8'!$B:$B,'W8'!$1:$1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14" l="1"/>
  <c r="L299" i="46"/>
  <c r="M299" i="46"/>
  <c r="K299" i="46"/>
  <c r="M298" i="46"/>
  <c r="L304" i="46"/>
  <c r="M304" i="46"/>
  <c r="N304" i="46"/>
  <c r="K304" i="46"/>
  <c r="O303" i="46"/>
  <c r="O304" i="46" s="1"/>
  <c r="K334" i="46"/>
  <c r="L334" i="46"/>
  <c r="M334" i="46"/>
  <c r="K361" i="46"/>
  <c r="L361" i="46"/>
  <c r="M361" i="46"/>
  <c r="M10" i="7" l="1"/>
  <c r="R2" i="43" l="1"/>
  <c r="P2" i="43"/>
  <c r="O2" i="43"/>
  <c r="N2" i="43"/>
  <c r="M2" i="43" s="1"/>
  <c r="J2" i="43"/>
  <c r="F266" i="47" l="1"/>
  <c r="E266" i="47"/>
  <c r="D266" i="47"/>
  <c r="C266" i="47"/>
  <c r="F265" i="47"/>
  <c r="E265" i="47"/>
  <c r="D265" i="47"/>
  <c r="C265" i="47"/>
  <c r="F264" i="47"/>
  <c r="E264" i="47"/>
  <c r="D264" i="47"/>
  <c r="C264" i="47"/>
  <c r="F263" i="47"/>
  <c r="E263" i="47"/>
  <c r="D263" i="47"/>
  <c r="C263" i="47"/>
  <c r="I132" i="46"/>
  <c r="I133" i="46"/>
  <c r="I134" i="46"/>
  <c r="I135" i="46"/>
  <c r="I136" i="46"/>
  <c r="I137" i="46"/>
  <c r="I138" i="46"/>
  <c r="I139" i="46"/>
  <c r="I140" i="46"/>
  <c r="I141" i="46"/>
  <c r="I142" i="46"/>
  <c r="I143" i="46"/>
  <c r="I144" i="46"/>
  <c r="I145" i="46"/>
  <c r="I146" i="46"/>
  <c r="I147" i="46"/>
  <c r="I148" i="46"/>
  <c r="I149" i="46"/>
  <c r="I150" i="46"/>
  <c r="I151" i="46"/>
  <c r="I152" i="46"/>
  <c r="I153" i="46"/>
  <c r="I154" i="46"/>
  <c r="I155" i="46"/>
  <c r="I156" i="46"/>
  <c r="I157" i="46"/>
  <c r="I158" i="46"/>
  <c r="I159" i="46"/>
  <c r="I160" i="46"/>
  <c r="I161" i="46"/>
  <c r="I162" i="46"/>
  <c r="I163" i="46"/>
  <c r="I164" i="46"/>
  <c r="I165" i="46"/>
  <c r="I166" i="46"/>
  <c r="I167" i="46"/>
  <c r="I168" i="46"/>
  <c r="I169" i="46"/>
  <c r="I170" i="46"/>
  <c r="I171" i="46"/>
  <c r="I172" i="46"/>
  <c r="I173" i="46"/>
  <c r="I174" i="46"/>
  <c r="I175" i="46"/>
  <c r="I176" i="46"/>
  <c r="I177" i="46"/>
  <c r="I178" i="46"/>
  <c r="I179" i="46"/>
  <c r="I180" i="46"/>
  <c r="I181" i="46"/>
  <c r="I182" i="46"/>
  <c r="I183" i="46"/>
  <c r="I184" i="46"/>
  <c r="I185" i="46"/>
  <c r="I186" i="46"/>
  <c r="I187" i="46"/>
  <c r="I188" i="46"/>
  <c r="I189" i="46"/>
  <c r="I190" i="46"/>
  <c r="I191" i="46"/>
  <c r="I192" i="46"/>
  <c r="I193" i="46"/>
  <c r="I194" i="46"/>
  <c r="I195" i="46"/>
  <c r="I196" i="46"/>
  <c r="I197" i="46"/>
  <c r="I198" i="46"/>
  <c r="I199" i="46"/>
  <c r="I200" i="46"/>
  <c r="I201" i="46"/>
  <c r="I202" i="46"/>
  <c r="I203" i="46"/>
  <c r="I204" i="46"/>
  <c r="I205" i="46"/>
  <c r="I206" i="46"/>
  <c r="I207" i="46"/>
  <c r="I208" i="46"/>
  <c r="I209" i="46"/>
  <c r="I210" i="46"/>
  <c r="I211" i="46"/>
  <c r="I212" i="46"/>
  <c r="I213" i="46"/>
  <c r="I214" i="46"/>
  <c r="I215" i="46"/>
  <c r="I216" i="46"/>
  <c r="I217" i="46"/>
  <c r="I218" i="46"/>
  <c r="I219" i="46"/>
  <c r="I220" i="46"/>
  <c r="I221" i="46"/>
  <c r="I222" i="46"/>
  <c r="I223" i="46"/>
  <c r="I224" i="46"/>
  <c r="I225" i="46"/>
  <c r="I226" i="46"/>
  <c r="I227" i="46"/>
  <c r="I228" i="46"/>
  <c r="I229" i="46"/>
  <c r="I230" i="46"/>
  <c r="I231" i="46"/>
  <c r="I232" i="46"/>
  <c r="I233" i="46"/>
  <c r="I234" i="46"/>
  <c r="I235" i="46"/>
  <c r="I236" i="46"/>
  <c r="I237" i="46"/>
  <c r="I238" i="46"/>
  <c r="I239" i="46"/>
  <c r="I240" i="46"/>
  <c r="I241" i="46"/>
  <c r="I242" i="46"/>
  <c r="I243" i="46"/>
  <c r="I244" i="46"/>
  <c r="I245" i="46"/>
  <c r="I246" i="46"/>
  <c r="I247" i="46"/>
  <c r="I248" i="46"/>
  <c r="I249" i="46"/>
  <c r="I250" i="46"/>
  <c r="I251" i="46"/>
  <c r="I252" i="46"/>
  <c r="I253" i="46"/>
  <c r="I254" i="46"/>
  <c r="I255" i="46"/>
  <c r="I256" i="46"/>
  <c r="I257" i="46"/>
  <c r="I258" i="46"/>
  <c r="I259" i="46"/>
  <c r="I260" i="46"/>
  <c r="I261" i="46"/>
  <c r="I262" i="46"/>
  <c r="I263" i="46"/>
  <c r="I264" i="46"/>
  <c r="I265" i="46"/>
  <c r="I266" i="46"/>
  <c r="I267" i="46"/>
  <c r="I268" i="46"/>
  <c r="I269" i="46"/>
  <c r="I270" i="46"/>
  <c r="I271" i="46"/>
  <c r="I272" i="46"/>
  <c r="I273" i="46"/>
  <c r="I274" i="46"/>
  <c r="I275" i="46"/>
  <c r="I276" i="46"/>
  <c r="I277" i="46"/>
  <c r="I278" i="46"/>
  <c r="I279" i="46"/>
  <c r="I280" i="46"/>
  <c r="I281" i="46"/>
  <c r="I282" i="46"/>
  <c r="I283" i="46"/>
  <c r="I284" i="46"/>
  <c r="I285" i="46"/>
  <c r="I286" i="46"/>
  <c r="I287" i="46"/>
  <c r="I288" i="46"/>
  <c r="I289" i="46"/>
  <c r="I290" i="46"/>
  <c r="I291" i="46"/>
  <c r="I292" i="46"/>
  <c r="I293" i="46"/>
  <c r="I294" i="46"/>
  <c r="I295" i="46"/>
  <c r="I296" i="46"/>
  <c r="I297" i="46"/>
  <c r="I298" i="46"/>
  <c r="I299" i="46"/>
  <c r="I300" i="46"/>
  <c r="I301" i="46"/>
  <c r="I302" i="46"/>
  <c r="I303" i="46"/>
  <c r="I304" i="46"/>
  <c r="I305" i="46"/>
  <c r="I306" i="46"/>
  <c r="I131" i="46"/>
  <c r="C368" i="46"/>
  <c r="D368" i="46"/>
  <c r="E368" i="46"/>
  <c r="F368" i="46"/>
  <c r="G368" i="46"/>
  <c r="H368" i="46"/>
  <c r="C369" i="46"/>
  <c r="D369" i="46"/>
  <c r="E369" i="46"/>
  <c r="F369" i="46"/>
  <c r="G369" i="46"/>
  <c r="H369" i="46"/>
  <c r="C370" i="46"/>
  <c r="D370" i="46"/>
  <c r="E370" i="46"/>
  <c r="F370" i="46"/>
  <c r="G370" i="46"/>
  <c r="H370" i="46"/>
  <c r="C371" i="46"/>
  <c r="D371" i="46"/>
  <c r="E371" i="46"/>
  <c r="F371" i="46"/>
  <c r="G371" i="46"/>
  <c r="H371" i="46"/>
  <c r="C372" i="46"/>
  <c r="D372" i="46"/>
  <c r="E372" i="46"/>
  <c r="F372" i="46"/>
  <c r="G372" i="46"/>
  <c r="H372" i="46"/>
  <c r="B372" i="46"/>
  <c r="B371" i="46"/>
  <c r="B370" i="46"/>
  <c r="B369" i="46"/>
  <c r="B368" i="46"/>
  <c r="C17" i="45"/>
  <c r="C16" i="45"/>
  <c r="C15" i="45"/>
  <c r="C14" i="45"/>
  <c r="C14" i="44"/>
  <c r="C15" i="44"/>
  <c r="C16" i="44"/>
  <c r="C17" i="44"/>
  <c r="D15" i="42"/>
  <c r="I369" i="46" l="1"/>
  <c r="I370" i="46"/>
  <c r="I371" i="46"/>
  <c r="I372" i="46"/>
  <c r="I4" i="38"/>
  <c r="I11" i="38"/>
  <c r="I12" i="38"/>
  <c r="Q18" i="42"/>
  <c r="L18" i="42"/>
  <c r="K18" i="42"/>
  <c r="I18" i="42"/>
  <c r="H18" i="42"/>
  <c r="F18" i="42"/>
  <c r="E18" i="42"/>
  <c r="D18" i="42"/>
  <c r="C18" i="42"/>
  <c r="Q17" i="42"/>
  <c r="L17" i="42"/>
  <c r="I17" i="42"/>
  <c r="H17" i="42"/>
  <c r="F17" i="42"/>
  <c r="E17" i="42"/>
  <c r="D17" i="42"/>
  <c r="C17" i="42"/>
  <c r="Q16" i="42"/>
  <c r="L16" i="42"/>
  <c r="I16" i="42"/>
  <c r="H16" i="42"/>
  <c r="F16" i="42"/>
  <c r="E16" i="42"/>
  <c r="D16" i="42"/>
  <c r="C16" i="42"/>
  <c r="Q15" i="42"/>
  <c r="L15" i="42"/>
  <c r="I15" i="42"/>
  <c r="H15" i="42"/>
  <c r="F15" i="42"/>
  <c r="E15" i="42"/>
  <c r="C15" i="42"/>
  <c r="S17" i="42"/>
  <c r="K16" i="42"/>
  <c r="S15" i="42"/>
  <c r="T14" i="42"/>
  <c r="P14" i="42"/>
  <c r="O14" i="42"/>
  <c r="M14" i="42" s="1"/>
  <c r="N14" i="42"/>
  <c r="J14" i="42"/>
  <c r="T13" i="42"/>
  <c r="P13" i="42"/>
  <c r="O13" i="42"/>
  <c r="N13" i="42"/>
  <c r="M13" i="42" s="1"/>
  <c r="J13" i="42"/>
  <c r="T12" i="42"/>
  <c r="P12" i="42"/>
  <c r="O12" i="42"/>
  <c r="N12" i="42"/>
  <c r="J12" i="42"/>
  <c r="T10" i="42"/>
  <c r="P10" i="42"/>
  <c r="O10" i="42"/>
  <c r="N10" i="42"/>
  <c r="J10" i="42"/>
  <c r="G10" i="42"/>
  <c r="P9" i="42"/>
  <c r="O9" i="42"/>
  <c r="M9" i="42" s="1"/>
  <c r="N9" i="42"/>
  <c r="J9" i="42"/>
  <c r="T8" i="42"/>
  <c r="R8" i="42"/>
  <c r="R18" i="42" s="1"/>
  <c r="P8" i="42"/>
  <c r="O8" i="42"/>
  <c r="N8" i="42"/>
  <c r="J8" i="42"/>
  <c r="G8" i="42"/>
  <c r="T7" i="42"/>
  <c r="P7" i="42"/>
  <c r="O7" i="42"/>
  <c r="N7" i="42"/>
  <c r="J7" i="42"/>
  <c r="T6" i="42"/>
  <c r="P6" i="42"/>
  <c r="O6" i="42"/>
  <c r="N6" i="42"/>
  <c r="J6" i="42"/>
  <c r="T5" i="42"/>
  <c r="P5" i="42"/>
  <c r="O5" i="42"/>
  <c r="N5" i="42"/>
  <c r="M5" i="42" s="1"/>
  <c r="J5" i="42"/>
  <c r="G5" i="42"/>
  <c r="T4" i="42"/>
  <c r="P4" i="42"/>
  <c r="O4" i="42"/>
  <c r="M4" i="42" s="1"/>
  <c r="N4" i="42"/>
  <c r="J4" i="42"/>
  <c r="P3" i="42"/>
  <c r="O3" i="42"/>
  <c r="N3" i="42"/>
  <c r="J3" i="42"/>
  <c r="G3" i="42"/>
  <c r="T2" i="42"/>
  <c r="P2" i="42"/>
  <c r="O2" i="42"/>
  <c r="N2" i="42"/>
  <c r="J2" i="42"/>
  <c r="M10" i="42" l="1"/>
  <c r="M2" i="42"/>
  <c r="M17" i="42" s="1"/>
  <c r="M8" i="42"/>
  <c r="M12" i="42"/>
  <c r="M15" i="42" s="1"/>
  <c r="M3" i="42"/>
  <c r="M6" i="42"/>
  <c r="M7" i="42"/>
  <c r="M16" i="42" s="1"/>
  <c r="M18" i="42"/>
  <c r="J18" i="42"/>
  <c r="G18" i="42"/>
  <c r="R16" i="42"/>
  <c r="N16" i="42"/>
  <c r="O17" i="42"/>
  <c r="P18" i="42"/>
  <c r="T16" i="42"/>
  <c r="O15" i="42"/>
  <c r="N18" i="42"/>
  <c r="G16" i="42"/>
  <c r="J16" i="42"/>
  <c r="T18" i="42"/>
  <c r="K15" i="42"/>
  <c r="N15" i="42"/>
  <c r="T15" i="42"/>
  <c r="O16" i="42"/>
  <c r="G17" i="42"/>
  <c r="J17" i="42"/>
  <c r="P17" i="42"/>
  <c r="R17" i="42"/>
  <c r="S18" i="42"/>
  <c r="G15" i="42"/>
  <c r="J15" i="42"/>
  <c r="P15" i="42"/>
  <c r="R15" i="42"/>
  <c r="S16" i="42"/>
  <c r="K17" i="42"/>
  <c r="N17" i="42"/>
  <c r="T17" i="42"/>
  <c r="O18" i="42"/>
  <c r="P16" i="42"/>
  <c r="C6" i="41" l="1"/>
  <c r="C7" i="41"/>
  <c r="C8" i="41"/>
  <c r="C9" i="41"/>
  <c r="O3" i="41"/>
  <c r="O4" i="41"/>
  <c r="O5" i="41"/>
  <c r="O2" i="41"/>
  <c r="AC9" i="41"/>
  <c r="Z9" i="41"/>
  <c r="Y9" i="41"/>
  <c r="T9" i="41"/>
  <c r="N9" i="41"/>
  <c r="J9" i="41"/>
  <c r="I9" i="41"/>
  <c r="G9" i="41"/>
  <c r="F9" i="41"/>
  <c r="E9" i="41"/>
  <c r="D9" i="41"/>
  <c r="AC8" i="41"/>
  <c r="Z8" i="41"/>
  <c r="Y8" i="41"/>
  <c r="T8" i="41"/>
  <c r="N8" i="41"/>
  <c r="J8" i="41"/>
  <c r="I8" i="41"/>
  <c r="G8" i="41"/>
  <c r="F8" i="41"/>
  <c r="E8" i="41"/>
  <c r="D8" i="41"/>
  <c r="AD7" i="41"/>
  <c r="AC7" i="41"/>
  <c r="Z7" i="41"/>
  <c r="Y7" i="41"/>
  <c r="T7" i="41"/>
  <c r="N7" i="41"/>
  <c r="J7" i="41"/>
  <c r="I7" i="41"/>
  <c r="G7" i="41"/>
  <c r="F7" i="41"/>
  <c r="E7" i="41"/>
  <c r="D7" i="41"/>
  <c r="AC6" i="41"/>
  <c r="Z6" i="41"/>
  <c r="Y6" i="41"/>
  <c r="T6" i="41"/>
  <c r="N6" i="41"/>
  <c r="J6" i="41"/>
  <c r="I6" i="41"/>
  <c r="G6" i="41"/>
  <c r="F6" i="41"/>
  <c r="E6" i="41"/>
  <c r="D6" i="41"/>
  <c r="AD9" i="41"/>
  <c r="K7" i="41"/>
  <c r="H7" i="41"/>
  <c r="P8" i="41"/>
  <c r="Q6" i="41"/>
  <c r="P6" i="41"/>
  <c r="H9" i="41"/>
  <c r="R9" i="41"/>
  <c r="Q8" i="41"/>
  <c r="P7" i="41"/>
  <c r="K9" i="41"/>
  <c r="AG5" i="41"/>
  <c r="AE5" i="41"/>
  <c r="AB5" i="41"/>
  <c r="AA5" i="41"/>
  <c r="X5" i="41"/>
  <c r="V5" i="41"/>
  <c r="L5" i="41"/>
  <c r="AG4" i="41"/>
  <c r="AF4" i="41"/>
  <c r="AE4" i="41"/>
  <c r="AB4" i="41"/>
  <c r="AA4" i="41"/>
  <c r="X4" i="41"/>
  <c r="W4" i="41"/>
  <c r="V4" i="41"/>
  <c r="U4" i="41"/>
  <c r="S4" i="41"/>
  <c r="M4" i="41"/>
  <c r="L4" i="41"/>
  <c r="AG3" i="41"/>
  <c r="AF3" i="41"/>
  <c r="AE3" i="41"/>
  <c r="AB3" i="41"/>
  <c r="AA3" i="41"/>
  <c r="X3" i="41"/>
  <c r="V3" i="41"/>
  <c r="AG2" i="41"/>
  <c r="AE2" i="41"/>
  <c r="AB2" i="41"/>
  <c r="AA2" i="41"/>
  <c r="X2" i="41"/>
  <c r="W2" i="41"/>
  <c r="V2" i="41"/>
  <c r="U2" i="41"/>
  <c r="S2" i="41"/>
  <c r="L2" i="41"/>
  <c r="M3" i="40"/>
  <c r="Q9" i="40"/>
  <c r="M9" i="40"/>
  <c r="L9" i="40"/>
  <c r="I9" i="40"/>
  <c r="H9" i="40"/>
  <c r="G9" i="40"/>
  <c r="F9" i="40"/>
  <c r="E9" i="40"/>
  <c r="D9" i="40"/>
  <c r="R8" i="40"/>
  <c r="Q8" i="40"/>
  <c r="M8" i="40"/>
  <c r="L8" i="40"/>
  <c r="I8" i="40"/>
  <c r="H8" i="40"/>
  <c r="G8" i="40"/>
  <c r="F8" i="40"/>
  <c r="E8" i="40"/>
  <c r="D8" i="40"/>
  <c r="R7" i="40"/>
  <c r="Q7" i="40"/>
  <c r="M7" i="40"/>
  <c r="L7" i="40"/>
  <c r="I7" i="40"/>
  <c r="H7" i="40"/>
  <c r="G7" i="40"/>
  <c r="F7" i="40"/>
  <c r="E7" i="40"/>
  <c r="D7" i="40"/>
  <c r="Q6" i="40"/>
  <c r="M6" i="40"/>
  <c r="L6" i="40"/>
  <c r="I6" i="40"/>
  <c r="H6" i="40"/>
  <c r="G6" i="40"/>
  <c r="F6" i="40"/>
  <c r="E6" i="40"/>
  <c r="D6" i="40"/>
  <c r="R9" i="40"/>
  <c r="J7" i="40"/>
  <c r="N8" i="40"/>
  <c r="O8" i="40"/>
  <c r="N7" i="40"/>
  <c r="J9" i="40"/>
  <c r="K9" i="40"/>
  <c r="S9" i="40"/>
  <c r="S8" i="40"/>
  <c r="S6" i="40"/>
  <c r="K7" i="40"/>
  <c r="T3" i="40"/>
  <c r="T7" i="40" s="1"/>
  <c r="P3" i="40"/>
  <c r="P8" i="40" s="1"/>
  <c r="AB17" i="39"/>
  <c r="Y17" i="39"/>
  <c r="X17" i="39"/>
  <c r="S17" i="39"/>
  <c r="M17" i="39"/>
  <c r="I17" i="39"/>
  <c r="H17" i="39"/>
  <c r="F17" i="39"/>
  <c r="E17" i="39"/>
  <c r="D17" i="39"/>
  <c r="C17" i="39"/>
  <c r="AC16" i="39"/>
  <c r="AB16" i="39"/>
  <c r="Y16" i="39"/>
  <c r="X16" i="39"/>
  <c r="S16" i="39"/>
  <c r="M16" i="39"/>
  <c r="I16" i="39"/>
  <c r="H16" i="39"/>
  <c r="F16" i="39"/>
  <c r="E16" i="39"/>
  <c r="D16" i="39"/>
  <c r="C16" i="39"/>
  <c r="AC15" i="39"/>
  <c r="AB15" i="39"/>
  <c r="Y15" i="39"/>
  <c r="X15" i="39"/>
  <c r="S15" i="39"/>
  <c r="M15" i="39"/>
  <c r="I15" i="39"/>
  <c r="H15" i="39"/>
  <c r="F15" i="39"/>
  <c r="E15" i="39"/>
  <c r="D15" i="39"/>
  <c r="C15" i="39"/>
  <c r="AB14" i="39"/>
  <c r="Y14" i="39"/>
  <c r="X14" i="39"/>
  <c r="S14" i="39"/>
  <c r="M14" i="39"/>
  <c r="I14" i="39"/>
  <c r="H14" i="39"/>
  <c r="F14" i="39"/>
  <c r="E14" i="39"/>
  <c r="D14" i="39"/>
  <c r="C14" i="39"/>
  <c r="AC17" i="39"/>
  <c r="P16" i="39"/>
  <c r="K17" i="39"/>
  <c r="AD15" i="39"/>
  <c r="AD14" i="39"/>
  <c r="K15" i="39"/>
  <c r="AF13" i="39"/>
  <c r="AE13" i="39"/>
  <c r="AA13" i="39"/>
  <c r="Z13" i="39"/>
  <c r="W13" i="39"/>
  <c r="V13" i="39"/>
  <c r="U13" i="39"/>
  <c r="Q13" i="39"/>
  <c r="O13" i="39"/>
  <c r="N13" i="39" s="1"/>
  <c r="J13" i="39"/>
  <c r="AF12" i="39"/>
  <c r="AE12" i="39"/>
  <c r="AA12" i="39"/>
  <c r="Z12" i="39"/>
  <c r="V12" i="39"/>
  <c r="U12" i="39"/>
  <c r="R12" i="39"/>
  <c r="Q12" i="39"/>
  <c r="O12" i="39"/>
  <c r="N12" i="39" s="1"/>
  <c r="J12" i="39"/>
  <c r="AF11" i="39"/>
  <c r="AE11" i="39"/>
  <c r="AA11" i="39"/>
  <c r="Z11" i="39"/>
  <c r="W11" i="39"/>
  <c r="V11" i="39"/>
  <c r="U11" i="39"/>
  <c r="T11" i="39"/>
  <c r="Q11" i="39"/>
  <c r="O11" i="39"/>
  <c r="N11" i="39" s="1"/>
  <c r="L11" i="39"/>
  <c r="J11" i="39"/>
  <c r="AF10" i="39"/>
  <c r="AE10" i="39"/>
  <c r="Q10" i="39"/>
  <c r="O10" i="39"/>
  <c r="N10" i="39" s="1"/>
  <c r="J10" i="39"/>
  <c r="AF9" i="39"/>
  <c r="AE9" i="39"/>
  <c r="Q9" i="39"/>
  <c r="O9" i="39"/>
  <c r="N9" i="39" s="1"/>
  <c r="J9" i="39"/>
  <c r="AF8" i="39"/>
  <c r="AE8" i="39"/>
  <c r="AA8" i="39"/>
  <c r="Z8" i="39"/>
  <c r="W8" i="39"/>
  <c r="V8" i="39"/>
  <c r="T8" i="39"/>
  <c r="Q8" i="39"/>
  <c r="O8" i="39"/>
  <c r="N8" i="39" s="1"/>
  <c r="L8" i="39"/>
  <c r="J8" i="39"/>
  <c r="G8" i="39"/>
  <c r="AF7" i="39"/>
  <c r="AE7" i="39"/>
  <c r="Q7" i="39"/>
  <c r="O7" i="39"/>
  <c r="N7" i="39" s="1"/>
  <c r="J7" i="39"/>
  <c r="AF6" i="39"/>
  <c r="AE6" i="39"/>
  <c r="Q6" i="39"/>
  <c r="O6" i="39"/>
  <c r="N6" i="39" s="1"/>
  <c r="J6" i="39"/>
  <c r="AF5" i="39"/>
  <c r="AE5" i="39"/>
  <c r="AA5" i="39"/>
  <c r="Z5" i="39"/>
  <c r="W5" i="39"/>
  <c r="V5" i="39"/>
  <c r="U5" i="39"/>
  <c r="T5" i="39"/>
  <c r="R5" i="39"/>
  <c r="R15" i="39" s="1"/>
  <c r="Q5" i="39"/>
  <c r="O5" i="39"/>
  <c r="N5" i="39" s="1"/>
  <c r="L5" i="39"/>
  <c r="J5" i="39"/>
  <c r="G5" i="39"/>
  <c r="AF4" i="39"/>
  <c r="AE4" i="39"/>
  <c r="Q4" i="39"/>
  <c r="O4" i="39"/>
  <c r="N4" i="39" s="1"/>
  <c r="J4" i="39"/>
  <c r="AF3" i="39"/>
  <c r="AE3" i="39"/>
  <c r="AA3" i="39"/>
  <c r="Z3" i="39"/>
  <c r="W3" i="39"/>
  <c r="V3" i="39"/>
  <c r="T3" i="39"/>
  <c r="Q3" i="39"/>
  <c r="O3" i="39"/>
  <c r="N3" i="39" s="1"/>
  <c r="L3" i="39"/>
  <c r="J3" i="39"/>
  <c r="G3" i="39"/>
  <c r="AF2" i="39"/>
  <c r="AE2" i="39"/>
  <c r="Q2" i="39"/>
  <c r="O2" i="39"/>
  <c r="N2" i="39" s="1"/>
  <c r="J2" i="39"/>
  <c r="M17" i="38"/>
  <c r="H17" i="38"/>
  <c r="E17" i="38"/>
  <c r="D17" i="38"/>
  <c r="C17" i="38"/>
  <c r="M16" i="38"/>
  <c r="H16" i="38"/>
  <c r="E16" i="38"/>
  <c r="D16" i="38"/>
  <c r="C16" i="38"/>
  <c r="M15" i="38"/>
  <c r="H15" i="38"/>
  <c r="E15" i="38"/>
  <c r="D15" i="38"/>
  <c r="C15" i="38"/>
  <c r="M14" i="38"/>
  <c r="H14" i="38"/>
  <c r="E14" i="38"/>
  <c r="D14" i="38"/>
  <c r="C14" i="38"/>
  <c r="R13" i="38"/>
  <c r="O13" i="38"/>
  <c r="J13" i="38"/>
  <c r="I13" i="38" s="1"/>
  <c r="R12" i="38"/>
  <c r="O12" i="38"/>
  <c r="G12" i="38"/>
  <c r="O11" i="38"/>
  <c r="O10" i="38"/>
  <c r="J10" i="38"/>
  <c r="I10" i="38" s="1"/>
  <c r="O9" i="38"/>
  <c r="J9" i="38"/>
  <c r="I9" i="38" s="1"/>
  <c r="G9" i="38"/>
  <c r="R8" i="38"/>
  <c r="O8" i="38"/>
  <c r="J8" i="38"/>
  <c r="I8" i="38" s="1"/>
  <c r="O7" i="38"/>
  <c r="J7" i="38"/>
  <c r="I7" i="38" s="1"/>
  <c r="J6" i="38"/>
  <c r="I6" i="38" s="1"/>
  <c r="O5" i="38"/>
  <c r="J5" i="38"/>
  <c r="I5" i="38" s="1"/>
  <c r="J3" i="38"/>
  <c r="I3" i="38" s="1"/>
  <c r="O2" i="38"/>
  <c r="J2" i="38"/>
  <c r="I2" i="38" s="1"/>
  <c r="N17" i="38"/>
  <c r="O10" i="37"/>
  <c r="N10" i="37"/>
  <c r="I10" i="37"/>
  <c r="H10" i="37"/>
  <c r="F10" i="37"/>
  <c r="E10" i="37"/>
  <c r="D10" i="37"/>
  <c r="C10" i="37"/>
  <c r="O9" i="37"/>
  <c r="N9" i="37"/>
  <c r="I9" i="37"/>
  <c r="H9" i="37"/>
  <c r="F9" i="37"/>
  <c r="E9" i="37"/>
  <c r="D9" i="37"/>
  <c r="C9" i="37"/>
  <c r="O8" i="37"/>
  <c r="N8" i="37"/>
  <c r="I8" i="37"/>
  <c r="H8" i="37"/>
  <c r="F8" i="37"/>
  <c r="E8" i="37"/>
  <c r="D8" i="37"/>
  <c r="C8" i="37"/>
  <c r="O7" i="37"/>
  <c r="N7" i="37"/>
  <c r="I7" i="37"/>
  <c r="H7" i="37"/>
  <c r="F7" i="37"/>
  <c r="E7" i="37"/>
  <c r="D7" i="37"/>
  <c r="C7" i="37"/>
  <c r="P6" i="37"/>
  <c r="L6" i="37"/>
  <c r="K6" i="37"/>
  <c r="G6" i="37"/>
  <c r="G9" i="37" s="1"/>
  <c r="P4" i="37"/>
  <c r="K4" i="37"/>
  <c r="J4" i="37" s="1"/>
  <c r="P3" i="37"/>
  <c r="P9" i="37" s="1"/>
  <c r="K3" i="37"/>
  <c r="J3" i="37" s="1"/>
  <c r="L2" i="37"/>
  <c r="L7" i="37" s="1"/>
  <c r="K2" i="37"/>
  <c r="K10" i="37" s="1"/>
  <c r="L10" i="37"/>
  <c r="M10" i="37"/>
  <c r="O9" i="36"/>
  <c r="N9" i="36"/>
  <c r="I9" i="36"/>
  <c r="H9" i="36"/>
  <c r="F9" i="36"/>
  <c r="E9" i="36"/>
  <c r="D9" i="36"/>
  <c r="C9" i="36"/>
  <c r="N8" i="36"/>
  <c r="I8" i="36"/>
  <c r="H8" i="36"/>
  <c r="F8" i="36"/>
  <c r="E8" i="36"/>
  <c r="D8" i="36"/>
  <c r="C8" i="36"/>
  <c r="O7" i="36"/>
  <c r="N7" i="36"/>
  <c r="I7" i="36"/>
  <c r="H7" i="36"/>
  <c r="G7" i="36"/>
  <c r="F7" i="36"/>
  <c r="E7" i="36"/>
  <c r="D7" i="36"/>
  <c r="C7" i="36"/>
  <c r="N6" i="36"/>
  <c r="I6" i="36"/>
  <c r="H6" i="36"/>
  <c r="F6" i="36"/>
  <c r="E6" i="36"/>
  <c r="D6" i="36"/>
  <c r="C6" i="36"/>
  <c r="G8" i="36"/>
  <c r="P5" i="36"/>
  <c r="M5" i="36"/>
  <c r="L5" i="36"/>
  <c r="K5" i="36"/>
  <c r="P4" i="36"/>
  <c r="M4" i="36"/>
  <c r="L4" i="36"/>
  <c r="K4" i="36"/>
  <c r="P3" i="36"/>
  <c r="M3" i="36"/>
  <c r="M6" i="36" s="1"/>
  <c r="K3" i="36"/>
  <c r="J3" i="36" s="1"/>
  <c r="O8" i="36"/>
  <c r="N9" i="35"/>
  <c r="I9" i="35"/>
  <c r="H9" i="35"/>
  <c r="F9" i="35"/>
  <c r="E9" i="35"/>
  <c r="D9" i="35"/>
  <c r="C9" i="35"/>
  <c r="N8" i="35"/>
  <c r="I8" i="35"/>
  <c r="H8" i="35"/>
  <c r="F8" i="35"/>
  <c r="E8" i="35"/>
  <c r="D8" i="35"/>
  <c r="C8" i="35"/>
  <c r="N7" i="35"/>
  <c r="I7" i="35"/>
  <c r="H7" i="35"/>
  <c r="F7" i="35"/>
  <c r="E7" i="35"/>
  <c r="D7" i="35"/>
  <c r="C7" i="35"/>
  <c r="N6" i="35"/>
  <c r="I6" i="35"/>
  <c r="H6" i="35"/>
  <c r="F6" i="35"/>
  <c r="E6" i="35"/>
  <c r="D6" i="35"/>
  <c r="C6" i="35"/>
  <c r="G6" i="35"/>
  <c r="P5" i="35"/>
  <c r="M5" i="35"/>
  <c r="K5" i="35"/>
  <c r="J5" i="35" s="1"/>
  <c r="P4" i="35"/>
  <c r="M4" i="35"/>
  <c r="L4" i="35"/>
  <c r="L9" i="35" s="1"/>
  <c r="K4" i="35"/>
  <c r="M3" i="35"/>
  <c r="K3" i="35"/>
  <c r="J3" i="35" s="1"/>
  <c r="O2" i="35"/>
  <c r="O9" i="35" s="1"/>
  <c r="M2" i="35"/>
  <c r="K2" i="35"/>
  <c r="J2" i="35" s="1"/>
  <c r="N9" i="34"/>
  <c r="I9" i="34"/>
  <c r="F9" i="34"/>
  <c r="E9" i="34"/>
  <c r="D9" i="34"/>
  <c r="C9" i="34"/>
  <c r="N8" i="34"/>
  <c r="I8" i="34"/>
  <c r="F8" i="34"/>
  <c r="E8" i="34"/>
  <c r="D8" i="34"/>
  <c r="C8" i="34"/>
  <c r="N7" i="34"/>
  <c r="I7" i="34"/>
  <c r="F7" i="34"/>
  <c r="E7" i="34"/>
  <c r="D7" i="34"/>
  <c r="C7" i="34"/>
  <c r="N6" i="34"/>
  <c r="I6" i="34"/>
  <c r="F6" i="34"/>
  <c r="E6" i="34"/>
  <c r="D6" i="34"/>
  <c r="C6" i="34"/>
  <c r="P5" i="34"/>
  <c r="K5" i="34"/>
  <c r="J5" i="34" s="1"/>
  <c r="P4" i="34"/>
  <c r="M4" i="34"/>
  <c r="K4" i="34"/>
  <c r="J4" i="34" s="1"/>
  <c r="P3" i="34"/>
  <c r="M3" i="34"/>
  <c r="K3" i="34"/>
  <c r="J3" i="34" s="1"/>
  <c r="G3" i="34"/>
  <c r="G9" i="34" s="1"/>
  <c r="M2" i="34"/>
  <c r="L2" i="34"/>
  <c r="K2" i="34"/>
  <c r="H6" i="34"/>
  <c r="O9" i="34"/>
  <c r="H9" i="34"/>
  <c r="N9" i="33"/>
  <c r="I9" i="33"/>
  <c r="G9" i="33"/>
  <c r="F9" i="33"/>
  <c r="E9" i="33"/>
  <c r="D9" i="33"/>
  <c r="C9" i="33"/>
  <c r="N8" i="33"/>
  <c r="I8" i="33"/>
  <c r="F8" i="33"/>
  <c r="E8" i="33"/>
  <c r="D8" i="33"/>
  <c r="C8" i="33"/>
  <c r="N7" i="33"/>
  <c r="I7" i="33"/>
  <c r="G7" i="33"/>
  <c r="F7" i="33"/>
  <c r="E7" i="33"/>
  <c r="D7" i="33"/>
  <c r="C7" i="33"/>
  <c r="N6" i="33"/>
  <c r="I6" i="33"/>
  <c r="F6" i="33"/>
  <c r="E6" i="33"/>
  <c r="D6" i="33"/>
  <c r="C6" i="33"/>
  <c r="G8" i="33"/>
  <c r="M9" i="33"/>
  <c r="L9" i="33"/>
  <c r="P5" i="33"/>
  <c r="J5" i="33"/>
  <c r="H5" i="33"/>
  <c r="P4" i="33"/>
  <c r="J4" i="33"/>
  <c r="H4" i="33"/>
  <c r="P3" i="33"/>
  <c r="J3" i="33"/>
  <c r="H3" i="33"/>
  <c r="O2" i="33"/>
  <c r="K2" i="33"/>
  <c r="K8" i="33" s="1"/>
  <c r="H2" i="33"/>
  <c r="N9" i="32"/>
  <c r="I9" i="32"/>
  <c r="G9" i="32"/>
  <c r="F9" i="32"/>
  <c r="E9" i="32"/>
  <c r="D9" i="32"/>
  <c r="C9" i="32"/>
  <c r="N8" i="32"/>
  <c r="I8" i="32"/>
  <c r="F8" i="32"/>
  <c r="E8" i="32"/>
  <c r="D8" i="32"/>
  <c r="C8" i="32"/>
  <c r="N7" i="32"/>
  <c r="I7" i="32"/>
  <c r="F7" i="32"/>
  <c r="E7" i="32"/>
  <c r="D7" i="32"/>
  <c r="C7" i="32"/>
  <c r="N6" i="32"/>
  <c r="I6" i="32"/>
  <c r="F6" i="32"/>
  <c r="E6" i="32"/>
  <c r="D6" i="32"/>
  <c r="C6" i="32"/>
  <c r="G8" i="32"/>
  <c r="O8" i="32"/>
  <c r="J5" i="32"/>
  <c r="M4" i="32"/>
  <c r="M9" i="32" s="1"/>
  <c r="J4" i="32"/>
  <c r="J3" i="32"/>
  <c r="N9" i="30"/>
  <c r="I9" i="30"/>
  <c r="F9" i="30"/>
  <c r="E9" i="30"/>
  <c r="D9" i="30"/>
  <c r="C9" i="30"/>
  <c r="N8" i="30"/>
  <c r="I8" i="30"/>
  <c r="F8" i="30"/>
  <c r="E8" i="30"/>
  <c r="D8" i="30"/>
  <c r="C8" i="30"/>
  <c r="N7" i="30"/>
  <c r="I7" i="30"/>
  <c r="F7" i="30"/>
  <c r="E7" i="30"/>
  <c r="D7" i="30"/>
  <c r="C7" i="30"/>
  <c r="N6" i="30"/>
  <c r="I6" i="30"/>
  <c r="F6" i="30"/>
  <c r="E6" i="30"/>
  <c r="D6" i="30"/>
  <c r="C6" i="30"/>
  <c r="P9" i="30"/>
  <c r="G9" i="30"/>
  <c r="L9" i="30"/>
  <c r="O5" i="30"/>
  <c r="J5" i="30"/>
  <c r="O4" i="30"/>
  <c r="K4" i="30"/>
  <c r="J4" i="30" s="1"/>
  <c r="K3" i="30"/>
  <c r="J3" i="30" s="1"/>
  <c r="M8" i="30"/>
  <c r="N9" i="29"/>
  <c r="I9" i="29"/>
  <c r="F9" i="29"/>
  <c r="E9" i="29"/>
  <c r="D9" i="29"/>
  <c r="C9" i="29"/>
  <c r="N8" i="29"/>
  <c r="I8" i="29"/>
  <c r="F8" i="29"/>
  <c r="E8" i="29"/>
  <c r="D8" i="29"/>
  <c r="C8" i="29"/>
  <c r="N7" i="29"/>
  <c r="I7" i="29"/>
  <c r="F7" i="29"/>
  <c r="E7" i="29"/>
  <c r="D7" i="29"/>
  <c r="C7" i="29"/>
  <c r="N6" i="29"/>
  <c r="I6" i="29"/>
  <c r="F6" i="29"/>
  <c r="E6" i="29"/>
  <c r="D6" i="29"/>
  <c r="C6" i="29"/>
  <c r="H9" i="29"/>
  <c r="O9" i="29"/>
  <c r="P5" i="29"/>
  <c r="M5" i="29"/>
  <c r="K5" i="29"/>
  <c r="J5" i="29" s="1"/>
  <c r="P4" i="29"/>
  <c r="M4" i="29"/>
  <c r="K4" i="29"/>
  <c r="J4" i="29" s="1"/>
  <c r="P3" i="29"/>
  <c r="M3" i="29"/>
  <c r="K3" i="29"/>
  <c r="J3" i="29" s="1"/>
  <c r="K2" i="29"/>
  <c r="J2" i="29" s="1"/>
  <c r="N9" i="28"/>
  <c r="I9" i="28"/>
  <c r="F9" i="28"/>
  <c r="E9" i="28"/>
  <c r="D9" i="28"/>
  <c r="C9" i="28"/>
  <c r="N8" i="28"/>
  <c r="I8" i="28"/>
  <c r="F8" i="28"/>
  <c r="E8" i="28"/>
  <c r="D8" i="28"/>
  <c r="C8" i="28"/>
  <c r="N7" i="28"/>
  <c r="I7" i="28"/>
  <c r="F7" i="28"/>
  <c r="E7" i="28"/>
  <c r="D7" i="28"/>
  <c r="C7" i="28"/>
  <c r="N6" i="28"/>
  <c r="I6" i="28"/>
  <c r="F6" i="28"/>
  <c r="E6" i="28"/>
  <c r="D6" i="28"/>
  <c r="C6" i="28"/>
  <c r="G9" i="28"/>
  <c r="K5" i="28"/>
  <c r="J5" i="28" s="1"/>
  <c r="O4" i="28"/>
  <c r="M4" i="28"/>
  <c r="K4" i="28"/>
  <c r="J4" i="28" s="1"/>
  <c r="H4" i="28"/>
  <c r="O3" i="28"/>
  <c r="M3" i="28"/>
  <c r="K3" i="28"/>
  <c r="J3" i="28" s="1"/>
  <c r="O2" i="28"/>
  <c r="M2" i="28"/>
  <c r="K2" i="28"/>
  <c r="J2" i="28" s="1"/>
  <c r="H2" i="28"/>
  <c r="N9" i="27"/>
  <c r="I9" i="27"/>
  <c r="G9" i="27"/>
  <c r="F9" i="27"/>
  <c r="E9" i="27"/>
  <c r="D9" i="27"/>
  <c r="C9" i="27"/>
  <c r="N8" i="27"/>
  <c r="I8" i="27"/>
  <c r="F8" i="27"/>
  <c r="E8" i="27"/>
  <c r="D8" i="27"/>
  <c r="C8" i="27"/>
  <c r="N7" i="27"/>
  <c r="I7" i="27"/>
  <c r="F7" i="27"/>
  <c r="E7" i="27"/>
  <c r="D7" i="27"/>
  <c r="C7" i="27"/>
  <c r="N6" i="27"/>
  <c r="I6" i="27"/>
  <c r="F6" i="27"/>
  <c r="E6" i="27"/>
  <c r="D6" i="27"/>
  <c r="C6" i="27"/>
  <c r="G7" i="27"/>
  <c r="G8" i="27"/>
  <c r="L9" i="27"/>
  <c r="O5" i="27"/>
  <c r="K5" i="27"/>
  <c r="J5" i="27" s="1"/>
  <c r="O4" i="27"/>
  <c r="M4" i="27"/>
  <c r="K4" i="27"/>
  <c r="J4" i="27" s="1"/>
  <c r="H4" i="27"/>
  <c r="O3" i="27"/>
  <c r="K3" i="27"/>
  <c r="J3" i="27" s="1"/>
  <c r="H3" i="27"/>
  <c r="O2" i="27"/>
  <c r="K2" i="27"/>
  <c r="J2" i="27" s="1"/>
  <c r="H2" i="27"/>
  <c r="N10" i="26"/>
  <c r="I10" i="26"/>
  <c r="F10" i="26"/>
  <c r="E10" i="26"/>
  <c r="D10" i="26"/>
  <c r="C10" i="26"/>
  <c r="N9" i="26"/>
  <c r="I9" i="26"/>
  <c r="F9" i="26"/>
  <c r="E9" i="26"/>
  <c r="D9" i="26"/>
  <c r="C9" i="26"/>
  <c r="N8" i="26"/>
  <c r="I8" i="26"/>
  <c r="F8" i="26"/>
  <c r="E8" i="26"/>
  <c r="D8" i="26"/>
  <c r="C8" i="26"/>
  <c r="N7" i="26"/>
  <c r="I7" i="26"/>
  <c r="F7" i="26"/>
  <c r="E7" i="26"/>
  <c r="D7" i="26"/>
  <c r="C7" i="26"/>
  <c r="G10" i="26"/>
  <c r="O6" i="26"/>
  <c r="J6" i="26"/>
  <c r="H6" i="26"/>
  <c r="O4" i="26"/>
  <c r="J4" i="26"/>
  <c r="H4" i="26"/>
  <c r="J3" i="26"/>
  <c r="H3" i="26"/>
  <c r="O2" i="26"/>
  <c r="J2" i="26"/>
  <c r="H2" i="26"/>
  <c r="P10" i="26"/>
  <c r="J4" i="24"/>
  <c r="J6" i="24"/>
  <c r="J2" i="24"/>
  <c r="J2" i="16"/>
  <c r="J7" i="16"/>
  <c r="J11" i="16"/>
  <c r="J15" i="16"/>
  <c r="J19" i="16"/>
  <c r="J24" i="16"/>
  <c r="J28" i="16"/>
  <c r="J32" i="16"/>
  <c r="J37" i="16"/>
  <c r="J40" i="16"/>
  <c r="J42" i="16"/>
  <c r="J47" i="16"/>
  <c r="J51" i="16"/>
  <c r="I10" i="24"/>
  <c r="F10" i="24"/>
  <c r="E10" i="24"/>
  <c r="D10" i="24"/>
  <c r="C10" i="24"/>
  <c r="I9" i="24"/>
  <c r="F9" i="24"/>
  <c r="E9" i="24"/>
  <c r="D9" i="24"/>
  <c r="C9" i="24"/>
  <c r="N8" i="24"/>
  <c r="I8" i="24"/>
  <c r="F8" i="24"/>
  <c r="E8" i="24"/>
  <c r="D8" i="24"/>
  <c r="C8" i="24"/>
  <c r="I7" i="24"/>
  <c r="F7" i="24"/>
  <c r="E7" i="24"/>
  <c r="D7" i="24"/>
  <c r="C7" i="24"/>
  <c r="N10" i="24"/>
  <c r="P6" i="24"/>
  <c r="O6" i="24"/>
  <c r="H6" i="24"/>
  <c r="H4" i="24"/>
  <c r="K3" i="24"/>
  <c r="J3" i="24" s="1"/>
  <c r="H3" i="24"/>
  <c r="H2" i="24"/>
  <c r="J5" i="23"/>
  <c r="J8" i="23"/>
  <c r="J11" i="23"/>
  <c r="J12" i="23"/>
  <c r="J13" i="23"/>
  <c r="J7" i="22"/>
  <c r="J12" i="22"/>
  <c r="J13" i="22"/>
  <c r="N17" i="23"/>
  <c r="M17" i="23"/>
  <c r="L17" i="23"/>
  <c r="I17" i="23"/>
  <c r="G17" i="23"/>
  <c r="F17" i="23"/>
  <c r="E17" i="23"/>
  <c r="D17" i="23"/>
  <c r="N16" i="23"/>
  <c r="M16" i="23"/>
  <c r="L16" i="23"/>
  <c r="I16" i="23"/>
  <c r="G16" i="23"/>
  <c r="F16" i="23"/>
  <c r="E16" i="23"/>
  <c r="D16" i="23"/>
  <c r="N15" i="23"/>
  <c r="M15" i="23"/>
  <c r="L15" i="23"/>
  <c r="I15" i="23"/>
  <c r="G15" i="23"/>
  <c r="F15" i="23"/>
  <c r="E15" i="23"/>
  <c r="D15" i="23"/>
  <c r="N14" i="23"/>
  <c r="M14" i="23"/>
  <c r="L14" i="23"/>
  <c r="I14" i="23"/>
  <c r="G14" i="23"/>
  <c r="F14" i="23"/>
  <c r="E14" i="23"/>
  <c r="D14" i="23"/>
  <c r="P13" i="23"/>
  <c r="O13" i="23"/>
  <c r="H13" i="23"/>
  <c r="P12" i="23"/>
  <c r="O12" i="23"/>
  <c r="H12" i="23"/>
  <c r="P11" i="23"/>
  <c r="O11" i="23"/>
  <c r="H11" i="23"/>
  <c r="P10" i="23"/>
  <c r="O10" i="23"/>
  <c r="K10" i="23"/>
  <c r="J10" i="23" s="1"/>
  <c r="H10" i="23"/>
  <c r="P9" i="23"/>
  <c r="O9" i="23"/>
  <c r="K9" i="23"/>
  <c r="J9" i="23" s="1"/>
  <c r="H9" i="23"/>
  <c r="P8" i="23"/>
  <c r="O8" i="23"/>
  <c r="K8" i="23"/>
  <c r="H8" i="23"/>
  <c r="P7" i="23"/>
  <c r="O7" i="23"/>
  <c r="K7" i="23"/>
  <c r="J7" i="23" s="1"/>
  <c r="H7" i="23"/>
  <c r="O6" i="23"/>
  <c r="K6" i="23"/>
  <c r="J6" i="23" s="1"/>
  <c r="H6" i="23"/>
  <c r="P5" i="23"/>
  <c r="O5" i="23"/>
  <c r="K5" i="23"/>
  <c r="H5" i="23"/>
  <c r="P4" i="23"/>
  <c r="O4" i="23"/>
  <c r="K4" i="23"/>
  <c r="J4" i="23" s="1"/>
  <c r="H4" i="23"/>
  <c r="K3" i="23"/>
  <c r="J3" i="23" s="1"/>
  <c r="H3" i="23"/>
  <c r="O2" i="23"/>
  <c r="K2" i="23"/>
  <c r="J2" i="23" s="1"/>
  <c r="H2" i="23"/>
  <c r="J8" i="21"/>
  <c r="J11" i="21"/>
  <c r="J12" i="21"/>
  <c r="J13" i="21"/>
  <c r="J2" i="21"/>
  <c r="N17" i="22"/>
  <c r="M17" i="22"/>
  <c r="L17" i="22"/>
  <c r="I17" i="22"/>
  <c r="G17" i="22"/>
  <c r="F17" i="22"/>
  <c r="E17" i="22"/>
  <c r="D17" i="22"/>
  <c r="C17" i="22"/>
  <c r="N16" i="22"/>
  <c r="M16" i="22"/>
  <c r="L16" i="22"/>
  <c r="I16" i="22"/>
  <c r="G16" i="22"/>
  <c r="F16" i="22"/>
  <c r="E16" i="22"/>
  <c r="D16" i="22"/>
  <c r="C16" i="22"/>
  <c r="N15" i="22"/>
  <c r="M15" i="22"/>
  <c r="L15" i="22"/>
  <c r="I15" i="22"/>
  <c r="G15" i="22"/>
  <c r="F15" i="22"/>
  <c r="E15" i="22"/>
  <c r="D15" i="22"/>
  <c r="C15" i="22"/>
  <c r="N14" i="22"/>
  <c r="M14" i="22"/>
  <c r="L14" i="22"/>
  <c r="I14" i="22"/>
  <c r="G14" i="22"/>
  <c r="F14" i="22"/>
  <c r="E14" i="22"/>
  <c r="D14" i="22"/>
  <c r="C14" i="22"/>
  <c r="P13" i="22"/>
  <c r="O13" i="22"/>
  <c r="H13" i="22"/>
  <c r="P12" i="22"/>
  <c r="O12" i="22"/>
  <c r="H12" i="22"/>
  <c r="P11" i="22"/>
  <c r="K11" i="22"/>
  <c r="J11" i="22" s="1"/>
  <c r="H11" i="22"/>
  <c r="O10" i="22"/>
  <c r="K10" i="22"/>
  <c r="J10" i="22" s="1"/>
  <c r="H10" i="22"/>
  <c r="P9" i="22"/>
  <c r="K9" i="22"/>
  <c r="J9" i="22" s="1"/>
  <c r="H9" i="22"/>
  <c r="O8" i="22"/>
  <c r="K8" i="22"/>
  <c r="J8" i="22" s="1"/>
  <c r="H8" i="22"/>
  <c r="P7" i="22"/>
  <c r="O7" i="22"/>
  <c r="K7" i="22"/>
  <c r="H7" i="22"/>
  <c r="P6" i="22"/>
  <c r="O6" i="22"/>
  <c r="K6" i="22"/>
  <c r="J6" i="22" s="1"/>
  <c r="H6" i="22"/>
  <c r="P5" i="22"/>
  <c r="O5" i="22"/>
  <c r="K5" i="22"/>
  <c r="J5" i="22" s="1"/>
  <c r="H5" i="22"/>
  <c r="O4" i="22"/>
  <c r="K4" i="22"/>
  <c r="J4" i="22" s="1"/>
  <c r="H4" i="22"/>
  <c r="K3" i="22"/>
  <c r="J3" i="22" s="1"/>
  <c r="H3" i="22"/>
  <c r="O2" i="22"/>
  <c r="K2" i="22"/>
  <c r="J2" i="22" s="1"/>
  <c r="H2" i="22"/>
  <c r="J4" i="20"/>
  <c r="J8" i="20"/>
  <c r="J9" i="20"/>
  <c r="J11" i="20"/>
  <c r="J12" i="20"/>
  <c r="J13" i="20"/>
  <c r="C14" i="20"/>
  <c r="C15" i="20"/>
  <c r="C16" i="20"/>
  <c r="C17" i="20"/>
  <c r="N17" i="21"/>
  <c r="M17" i="21"/>
  <c r="L17" i="21"/>
  <c r="I17" i="21"/>
  <c r="G17" i="21"/>
  <c r="F17" i="21"/>
  <c r="E17" i="21"/>
  <c r="D17" i="21"/>
  <c r="N16" i="21"/>
  <c r="M16" i="21"/>
  <c r="L16" i="21"/>
  <c r="I16" i="21"/>
  <c r="G16" i="21"/>
  <c r="F16" i="21"/>
  <c r="E16" i="21"/>
  <c r="D16" i="21"/>
  <c r="N15" i="21"/>
  <c r="M15" i="21"/>
  <c r="L15" i="21"/>
  <c r="I15" i="21"/>
  <c r="G15" i="21"/>
  <c r="F15" i="21"/>
  <c r="E15" i="21"/>
  <c r="D15" i="21"/>
  <c r="N14" i="21"/>
  <c r="M14" i="21"/>
  <c r="L14" i="21"/>
  <c r="I14" i="21"/>
  <c r="G14" i="21"/>
  <c r="F14" i="21"/>
  <c r="E14" i="21"/>
  <c r="D14" i="21"/>
  <c r="P13" i="21"/>
  <c r="O13" i="21"/>
  <c r="K13" i="21"/>
  <c r="H13" i="21"/>
  <c r="P12" i="21"/>
  <c r="O12" i="21"/>
  <c r="H12" i="21"/>
  <c r="P11" i="21"/>
  <c r="O11" i="21"/>
  <c r="H11" i="21"/>
  <c r="P10" i="21"/>
  <c r="O10" i="21"/>
  <c r="K10" i="21"/>
  <c r="J10" i="21" s="1"/>
  <c r="H10" i="21"/>
  <c r="P9" i="21"/>
  <c r="O9" i="21"/>
  <c r="K9" i="21"/>
  <c r="J9" i="21" s="1"/>
  <c r="H9" i="21"/>
  <c r="O8" i="21"/>
  <c r="H8" i="21"/>
  <c r="O7" i="21"/>
  <c r="K7" i="21"/>
  <c r="J7" i="21" s="1"/>
  <c r="H7" i="21"/>
  <c r="P6" i="21"/>
  <c r="O6" i="21"/>
  <c r="K6" i="21"/>
  <c r="J6" i="21" s="1"/>
  <c r="H6" i="21"/>
  <c r="P5" i="21"/>
  <c r="O5" i="21"/>
  <c r="K5" i="21"/>
  <c r="J5" i="21" s="1"/>
  <c r="H5" i="21"/>
  <c r="P4" i="21"/>
  <c r="O4" i="21"/>
  <c r="K4" i="21"/>
  <c r="J4" i="21" s="1"/>
  <c r="O3" i="21"/>
  <c r="K3" i="21"/>
  <c r="J3" i="21" s="1"/>
  <c r="H3" i="21"/>
  <c r="O2" i="21"/>
  <c r="H2" i="21"/>
  <c r="J3" i="19"/>
  <c r="J4" i="19"/>
  <c r="J6" i="19"/>
  <c r="J8" i="19"/>
  <c r="J11" i="19"/>
  <c r="J12" i="19"/>
  <c r="N17" i="20"/>
  <c r="M17" i="20"/>
  <c r="L17" i="20"/>
  <c r="I17" i="20"/>
  <c r="G17" i="20"/>
  <c r="F17" i="20"/>
  <c r="E17" i="20"/>
  <c r="D17" i="20"/>
  <c r="N16" i="20"/>
  <c r="M16" i="20"/>
  <c r="L16" i="20"/>
  <c r="I16" i="20"/>
  <c r="G16" i="20"/>
  <c r="F16" i="20"/>
  <c r="E16" i="20"/>
  <c r="D16" i="20"/>
  <c r="N15" i="20"/>
  <c r="M15" i="20"/>
  <c r="L15" i="20"/>
  <c r="I15" i="20"/>
  <c r="G15" i="20"/>
  <c r="F15" i="20"/>
  <c r="E15" i="20"/>
  <c r="D15" i="20"/>
  <c r="N14" i="20"/>
  <c r="M14" i="20"/>
  <c r="L14" i="20"/>
  <c r="I14" i="20"/>
  <c r="G14" i="20"/>
  <c r="F14" i="20"/>
  <c r="E14" i="20"/>
  <c r="D14" i="20"/>
  <c r="P13" i="20"/>
  <c r="O13" i="20"/>
  <c r="H13" i="20"/>
  <c r="O12" i="20"/>
  <c r="H12" i="20"/>
  <c r="O11" i="20"/>
  <c r="H11" i="20"/>
  <c r="P10" i="20"/>
  <c r="O10" i="20"/>
  <c r="K10" i="20"/>
  <c r="J10" i="20" s="1"/>
  <c r="H10" i="20"/>
  <c r="P9" i="20"/>
  <c r="O9" i="20"/>
  <c r="H9" i="20"/>
  <c r="O8" i="20"/>
  <c r="H8" i="20"/>
  <c r="P7" i="20"/>
  <c r="O7" i="20"/>
  <c r="K7" i="20"/>
  <c r="J7" i="20" s="1"/>
  <c r="H7" i="20"/>
  <c r="P6" i="20"/>
  <c r="O6" i="20"/>
  <c r="K6" i="20"/>
  <c r="J6" i="20" s="1"/>
  <c r="H6" i="20"/>
  <c r="P5" i="20"/>
  <c r="O5" i="20"/>
  <c r="K5" i="20"/>
  <c r="J5" i="20" s="1"/>
  <c r="P4" i="20"/>
  <c r="O4" i="20"/>
  <c r="H4" i="20"/>
  <c r="O3" i="20"/>
  <c r="K3" i="20"/>
  <c r="J3" i="20" s="1"/>
  <c r="H3" i="20"/>
  <c r="O2" i="20"/>
  <c r="K2" i="20"/>
  <c r="J2" i="20" s="1"/>
  <c r="H2" i="20"/>
  <c r="J5" i="18"/>
  <c r="J8" i="18"/>
  <c r="J9" i="18"/>
  <c r="J11" i="18"/>
  <c r="J12" i="18"/>
  <c r="J2" i="18"/>
  <c r="N17" i="19"/>
  <c r="M17" i="19"/>
  <c r="L17" i="19"/>
  <c r="I17" i="19"/>
  <c r="G17" i="19"/>
  <c r="F17" i="19"/>
  <c r="E17" i="19"/>
  <c r="D17" i="19"/>
  <c r="N16" i="19"/>
  <c r="M16" i="19"/>
  <c r="L16" i="19"/>
  <c r="I16" i="19"/>
  <c r="G16" i="19"/>
  <c r="F16" i="19"/>
  <c r="E16" i="19"/>
  <c r="D16" i="19"/>
  <c r="N15" i="19"/>
  <c r="M15" i="19"/>
  <c r="L15" i="19"/>
  <c r="I15" i="19"/>
  <c r="G15" i="19"/>
  <c r="F15" i="19"/>
  <c r="E15" i="19"/>
  <c r="D15" i="19"/>
  <c r="N14" i="19"/>
  <c r="M14" i="19"/>
  <c r="L14" i="19"/>
  <c r="I14" i="19"/>
  <c r="G14" i="19"/>
  <c r="F14" i="19"/>
  <c r="E14" i="19"/>
  <c r="D14" i="19"/>
  <c r="P13" i="19"/>
  <c r="O13" i="19"/>
  <c r="K13" i="19"/>
  <c r="J13" i="19" s="1"/>
  <c r="H13" i="19"/>
  <c r="P12" i="19"/>
  <c r="O12" i="19"/>
  <c r="H12" i="19"/>
  <c r="H11" i="19"/>
  <c r="O10" i="19"/>
  <c r="K10" i="19"/>
  <c r="J10" i="19" s="1"/>
  <c r="H10" i="19"/>
  <c r="P9" i="19"/>
  <c r="O9" i="19"/>
  <c r="K9" i="19"/>
  <c r="J9" i="19" s="1"/>
  <c r="H9" i="19"/>
  <c r="P8" i="19"/>
  <c r="H8" i="19"/>
  <c r="P7" i="19"/>
  <c r="O7" i="19"/>
  <c r="K7" i="19"/>
  <c r="J7" i="19" s="1"/>
  <c r="H7" i="19"/>
  <c r="P6" i="19"/>
  <c r="H6" i="19"/>
  <c r="P5" i="19"/>
  <c r="K5" i="19"/>
  <c r="J5" i="19" s="1"/>
  <c r="H5" i="19"/>
  <c r="P4" i="19"/>
  <c r="K4" i="19"/>
  <c r="H4" i="19"/>
  <c r="K3" i="19"/>
  <c r="H3" i="19"/>
  <c r="K2" i="19"/>
  <c r="J2" i="19" s="1"/>
  <c r="H2" i="19"/>
  <c r="J3" i="17"/>
  <c r="J4" i="17"/>
  <c r="J5" i="17"/>
  <c r="J6" i="17"/>
  <c r="J7" i="17"/>
  <c r="J8" i="17"/>
  <c r="J9" i="17"/>
  <c r="J10" i="17"/>
  <c r="J11" i="17"/>
  <c r="J12" i="17"/>
  <c r="J13" i="17"/>
  <c r="J2" i="17"/>
  <c r="N17" i="18"/>
  <c r="M17" i="18"/>
  <c r="L17" i="18"/>
  <c r="I17" i="18"/>
  <c r="G17" i="18"/>
  <c r="F17" i="18"/>
  <c r="E17" i="18"/>
  <c r="D17" i="18"/>
  <c r="N16" i="18"/>
  <c r="M16" i="18"/>
  <c r="L16" i="18"/>
  <c r="I16" i="18"/>
  <c r="G16" i="18"/>
  <c r="F16" i="18"/>
  <c r="E16" i="18"/>
  <c r="D16" i="18"/>
  <c r="N15" i="18"/>
  <c r="M15" i="18"/>
  <c r="L15" i="18"/>
  <c r="I15" i="18"/>
  <c r="G15" i="18"/>
  <c r="F15" i="18"/>
  <c r="E15" i="18"/>
  <c r="D15" i="18"/>
  <c r="N14" i="18"/>
  <c r="M14" i="18"/>
  <c r="L14" i="18"/>
  <c r="I14" i="18"/>
  <c r="G14" i="18"/>
  <c r="F14" i="18"/>
  <c r="E14" i="18"/>
  <c r="D14" i="18"/>
  <c r="O13" i="18"/>
  <c r="K13" i="18"/>
  <c r="J13" i="18" s="1"/>
  <c r="H13" i="18"/>
  <c r="P12" i="18"/>
  <c r="O12" i="18"/>
  <c r="H12" i="18"/>
  <c r="P11" i="18"/>
  <c r="O11" i="18"/>
  <c r="H11" i="18"/>
  <c r="P10" i="18"/>
  <c r="O10" i="18"/>
  <c r="K10" i="18"/>
  <c r="J10" i="18" s="1"/>
  <c r="H10" i="18"/>
  <c r="O9" i="18"/>
  <c r="H9" i="18"/>
  <c r="P8" i="18"/>
  <c r="O8" i="18"/>
  <c r="H8" i="18"/>
  <c r="P7" i="18"/>
  <c r="O7" i="18"/>
  <c r="K7" i="18"/>
  <c r="J7" i="18" s="1"/>
  <c r="H7" i="18"/>
  <c r="O6" i="18"/>
  <c r="K6" i="18"/>
  <c r="J6" i="18" s="1"/>
  <c r="O5" i="18"/>
  <c r="K5" i="18"/>
  <c r="P4" i="18"/>
  <c r="O4" i="18"/>
  <c r="K4" i="18"/>
  <c r="J4" i="18" s="1"/>
  <c r="H4" i="18"/>
  <c r="O3" i="18"/>
  <c r="K3" i="18"/>
  <c r="J3" i="18" s="1"/>
  <c r="H3" i="18"/>
  <c r="K2" i="18"/>
  <c r="H2" i="18"/>
  <c r="I17" i="17"/>
  <c r="F17" i="17"/>
  <c r="E17" i="17"/>
  <c r="D17" i="17"/>
  <c r="I16" i="17"/>
  <c r="F16" i="17"/>
  <c r="E16" i="17"/>
  <c r="D16" i="17"/>
  <c r="I15" i="17"/>
  <c r="F15" i="17"/>
  <c r="E15" i="17"/>
  <c r="D15" i="17"/>
  <c r="I14" i="17"/>
  <c r="F14" i="17"/>
  <c r="E14" i="17"/>
  <c r="D14" i="17"/>
  <c r="O13" i="17"/>
  <c r="P12" i="17"/>
  <c r="O12" i="17"/>
  <c r="H12" i="17"/>
  <c r="O11" i="17"/>
  <c r="P10" i="17"/>
  <c r="O10" i="17"/>
  <c r="H10" i="17"/>
  <c r="O9" i="17"/>
  <c r="H9" i="17"/>
  <c r="P8" i="17"/>
  <c r="O8" i="17"/>
  <c r="H8" i="17"/>
  <c r="P7" i="17"/>
  <c r="O7" i="17"/>
  <c r="H7" i="17"/>
  <c r="O6" i="17"/>
  <c r="H6" i="17"/>
  <c r="P5" i="17"/>
  <c r="O5" i="17"/>
  <c r="H5" i="17"/>
  <c r="P4" i="17"/>
  <c r="O4" i="17"/>
  <c r="H4" i="17"/>
  <c r="H3" i="17"/>
  <c r="O2" i="17"/>
  <c r="H2" i="17"/>
  <c r="N17" i="17"/>
  <c r="L14" i="17"/>
  <c r="M17" i="17"/>
  <c r="L16" i="17"/>
  <c r="G17" i="17"/>
  <c r="L4" i="15"/>
  <c r="L5" i="15"/>
  <c r="L6" i="15"/>
  <c r="L7" i="15"/>
  <c r="L8" i="15"/>
  <c r="L9" i="15"/>
  <c r="L10" i="15"/>
  <c r="L11" i="15"/>
  <c r="L12" i="15"/>
  <c r="L13" i="15"/>
  <c r="L15" i="15"/>
  <c r="L19" i="15"/>
  <c r="L20" i="15"/>
  <c r="L21" i="15"/>
  <c r="L25" i="15"/>
  <c r="L26" i="15"/>
  <c r="L3" i="15"/>
  <c r="I29" i="15"/>
  <c r="I30" i="15"/>
  <c r="I31" i="15"/>
  <c r="I32" i="15"/>
  <c r="AA58" i="16"/>
  <c r="X58" i="16"/>
  <c r="W58" i="16"/>
  <c r="T58" i="16"/>
  <c r="R58" i="16"/>
  <c r="M58" i="16"/>
  <c r="I58" i="16"/>
  <c r="H58" i="16"/>
  <c r="F58" i="16"/>
  <c r="E58" i="16"/>
  <c r="D58" i="16"/>
  <c r="C58" i="16"/>
  <c r="AA57" i="16"/>
  <c r="X57" i="16"/>
  <c r="W57" i="16"/>
  <c r="T57" i="16"/>
  <c r="R57" i="16"/>
  <c r="M57" i="16"/>
  <c r="I57" i="16"/>
  <c r="H57" i="16"/>
  <c r="F57" i="16"/>
  <c r="E57" i="16"/>
  <c r="D57" i="16"/>
  <c r="C57" i="16"/>
  <c r="AA56" i="16"/>
  <c r="X56" i="16"/>
  <c r="W56" i="16"/>
  <c r="T56" i="16"/>
  <c r="R56" i="16"/>
  <c r="M56" i="16"/>
  <c r="I56" i="16"/>
  <c r="H56" i="16"/>
  <c r="F56" i="16"/>
  <c r="E56" i="16"/>
  <c r="D56" i="16"/>
  <c r="C56" i="16"/>
  <c r="AA55" i="16"/>
  <c r="X55" i="16"/>
  <c r="W55" i="16"/>
  <c r="T55" i="16"/>
  <c r="R55" i="16"/>
  <c r="M55" i="16"/>
  <c r="I55" i="16"/>
  <c r="H55" i="16"/>
  <c r="F55" i="16"/>
  <c r="E55" i="16"/>
  <c r="D55" i="16"/>
  <c r="C55" i="16"/>
  <c r="AB55" i="16"/>
  <c r="AE51" i="16"/>
  <c r="AD51" i="16"/>
  <c r="Q51" i="16"/>
  <c r="P51" i="16"/>
  <c r="N51" i="16" s="1"/>
  <c r="O51" i="16"/>
  <c r="AE47" i="16"/>
  <c r="AD47" i="16"/>
  <c r="Q47" i="16"/>
  <c r="P47" i="16"/>
  <c r="O47" i="16"/>
  <c r="N47" i="16" s="1"/>
  <c r="AE42" i="16"/>
  <c r="AD42" i="16"/>
  <c r="Z42" i="16"/>
  <c r="Y42" i="16"/>
  <c r="V42" i="16"/>
  <c r="U42" i="16"/>
  <c r="Q42" i="16"/>
  <c r="P42" i="16"/>
  <c r="O42" i="16"/>
  <c r="L42" i="16"/>
  <c r="AE40" i="16"/>
  <c r="AD40" i="16"/>
  <c r="Z40" i="16"/>
  <c r="Y40" i="16"/>
  <c r="U40" i="16"/>
  <c r="Q40" i="16"/>
  <c r="O40" i="16"/>
  <c r="N40" i="16" s="1"/>
  <c r="L40" i="16"/>
  <c r="AE37" i="16"/>
  <c r="AD37" i="16"/>
  <c r="Q37" i="16"/>
  <c r="P37" i="16"/>
  <c r="N37" i="16" s="1"/>
  <c r="O37" i="16"/>
  <c r="L37" i="16"/>
  <c r="AE32" i="16"/>
  <c r="AD32" i="16"/>
  <c r="Q32" i="16"/>
  <c r="P32" i="16"/>
  <c r="O32" i="16"/>
  <c r="AE28" i="16"/>
  <c r="AD28" i="16"/>
  <c r="Z28" i="16"/>
  <c r="Y28" i="16"/>
  <c r="V28" i="16"/>
  <c r="U28" i="16"/>
  <c r="Q28" i="16"/>
  <c r="P28" i="16"/>
  <c r="O28" i="16"/>
  <c r="L28" i="16"/>
  <c r="G28" i="16"/>
  <c r="AE24" i="16"/>
  <c r="AD24" i="16"/>
  <c r="Q24" i="16"/>
  <c r="P24" i="16"/>
  <c r="O24" i="16"/>
  <c r="AE19" i="16"/>
  <c r="AD19" i="16"/>
  <c r="Q19" i="16"/>
  <c r="P19" i="16"/>
  <c r="O19" i="16"/>
  <c r="AE15" i="16"/>
  <c r="AD15" i="16"/>
  <c r="Z15" i="16"/>
  <c r="Y15" i="16"/>
  <c r="V15" i="16"/>
  <c r="U15" i="16"/>
  <c r="Q15" i="16"/>
  <c r="P15" i="16"/>
  <c r="N15" i="16" s="1"/>
  <c r="O15" i="16"/>
  <c r="L15" i="16"/>
  <c r="G15" i="16"/>
  <c r="AE11" i="16"/>
  <c r="AD11" i="16"/>
  <c r="Q11" i="16"/>
  <c r="P11" i="16"/>
  <c r="O11" i="16"/>
  <c r="AE7" i="16"/>
  <c r="AD7" i="16"/>
  <c r="Y7" i="16"/>
  <c r="V7" i="16"/>
  <c r="Q7" i="16"/>
  <c r="P7" i="16"/>
  <c r="O7" i="16"/>
  <c r="L7" i="16"/>
  <c r="AD2" i="16"/>
  <c r="Q2" i="16"/>
  <c r="P2" i="16"/>
  <c r="O2" i="16"/>
  <c r="J16" i="19" l="1"/>
  <c r="J16" i="17"/>
  <c r="J14" i="17"/>
  <c r="P9" i="35"/>
  <c r="P10" i="37"/>
  <c r="I16" i="38"/>
  <c r="O9" i="28"/>
  <c r="J2" i="37"/>
  <c r="G10" i="37"/>
  <c r="L9" i="37"/>
  <c r="J5" i="36"/>
  <c r="M8" i="28"/>
  <c r="O10" i="26"/>
  <c r="H9" i="27"/>
  <c r="O8" i="27"/>
  <c r="H9" i="26"/>
  <c r="I17" i="38"/>
  <c r="I14" i="38"/>
  <c r="I15" i="38"/>
  <c r="O7" i="41"/>
  <c r="O9" i="41"/>
  <c r="O6" i="41"/>
  <c r="O8" i="41"/>
  <c r="L7" i="41"/>
  <c r="AA6" i="41"/>
  <c r="AG7" i="41"/>
  <c r="V7" i="41"/>
  <c r="AF7" i="41"/>
  <c r="M8" i="41"/>
  <c r="V6" i="41"/>
  <c r="AE6" i="41"/>
  <c r="U6" i="41"/>
  <c r="X6" i="41"/>
  <c r="AB9" i="41"/>
  <c r="AE7" i="41"/>
  <c r="AG9" i="41"/>
  <c r="V8" i="41"/>
  <c r="AF9" i="41"/>
  <c r="AA8" i="41"/>
  <c r="S9" i="41"/>
  <c r="L9" i="41"/>
  <c r="W6" i="41"/>
  <c r="AB8" i="41"/>
  <c r="M6" i="41"/>
  <c r="S7" i="41"/>
  <c r="W8" i="41"/>
  <c r="M9" i="41"/>
  <c r="R7" i="41"/>
  <c r="AD6" i="41"/>
  <c r="L6" i="41"/>
  <c r="S6" i="41"/>
  <c r="AF6" i="41"/>
  <c r="AG6" i="41"/>
  <c r="M7" i="41"/>
  <c r="Q7" i="41"/>
  <c r="W7" i="41"/>
  <c r="AB7" i="41"/>
  <c r="H8" i="41"/>
  <c r="K8" i="41"/>
  <c r="R8" i="41"/>
  <c r="AD8" i="41"/>
  <c r="U9" i="41"/>
  <c r="V9" i="41"/>
  <c r="X9" i="41"/>
  <c r="AA9" i="41"/>
  <c r="AE9" i="41"/>
  <c r="AB6" i="41"/>
  <c r="U8" i="41"/>
  <c r="X8" i="41"/>
  <c r="AE8" i="41"/>
  <c r="P9" i="41"/>
  <c r="H6" i="41"/>
  <c r="K6" i="41"/>
  <c r="R6" i="41"/>
  <c r="U7" i="41"/>
  <c r="X7" i="41"/>
  <c r="AA7" i="41"/>
  <c r="L8" i="41"/>
  <c r="S8" i="41"/>
  <c r="AF8" i="41"/>
  <c r="AG8" i="41"/>
  <c r="Q9" i="41"/>
  <c r="W9" i="41"/>
  <c r="P9" i="40"/>
  <c r="G15" i="38"/>
  <c r="R15" i="38"/>
  <c r="F17" i="38"/>
  <c r="Q15" i="38"/>
  <c r="J15" i="38"/>
  <c r="T6" i="40"/>
  <c r="P6" i="40"/>
  <c r="K6" i="40"/>
  <c r="N6" i="40"/>
  <c r="O7" i="40"/>
  <c r="J8" i="40"/>
  <c r="T9" i="40"/>
  <c r="J6" i="40"/>
  <c r="S7" i="40"/>
  <c r="O6" i="40"/>
  <c r="P7" i="40"/>
  <c r="N9" i="40"/>
  <c r="R6" i="40"/>
  <c r="K8" i="40"/>
  <c r="T8" i="40"/>
  <c r="O9" i="40"/>
  <c r="N15" i="38"/>
  <c r="G17" i="38"/>
  <c r="K16" i="38"/>
  <c r="N16" i="39"/>
  <c r="N17" i="39"/>
  <c r="N15" i="39"/>
  <c r="N14" i="39"/>
  <c r="J17" i="39"/>
  <c r="AA14" i="39"/>
  <c r="T16" i="39"/>
  <c r="AF15" i="39"/>
  <c r="O14" i="39"/>
  <c r="W14" i="39"/>
  <c r="V14" i="39"/>
  <c r="AE14" i="39"/>
  <c r="L14" i="39"/>
  <c r="U16" i="39"/>
  <c r="O15" i="39"/>
  <c r="AE15" i="39"/>
  <c r="G17" i="39"/>
  <c r="Q15" i="39"/>
  <c r="Z14" i="39"/>
  <c r="Q17" i="39"/>
  <c r="T14" i="39"/>
  <c r="AA16" i="39"/>
  <c r="U14" i="39"/>
  <c r="L16" i="39"/>
  <c r="V16" i="39"/>
  <c r="K14" i="39"/>
  <c r="R14" i="39"/>
  <c r="L15" i="39"/>
  <c r="P15" i="39"/>
  <c r="V15" i="39"/>
  <c r="AA15" i="39"/>
  <c r="G16" i="39"/>
  <c r="J16" i="39"/>
  <c r="Q16" i="39"/>
  <c r="T17" i="39"/>
  <c r="U17" i="39"/>
  <c r="W17" i="39"/>
  <c r="Z17" i="39"/>
  <c r="AD17" i="39"/>
  <c r="P14" i="39"/>
  <c r="W16" i="39"/>
  <c r="Z16" i="39"/>
  <c r="AD16" i="39"/>
  <c r="O17" i="39"/>
  <c r="R17" i="39"/>
  <c r="AF17" i="39"/>
  <c r="G14" i="39"/>
  <c r="J14" i="39"/>
  <c r="AC14" i="39"/>
  <c r="K16" i="39"/>
  <c r="O16" i="39"/>
  <c r="R16" i="39"/>
  <c r="AE16" i="39"/>
  <c r="AF16" i="39"/>
  <c r="L17" i="39"/>
  <c r="P17" i="39"/>
  <c r="V17" i="39"/>
  <c r="AA17" i="39"/>
  <c r="AF14" i="39"/>
  <c r="G15" i="39"/>
  <c r="J15" i="39"/>
  <c r="AE17" i="39"/>
  <c r="Q14" i="39"/>
  <c r="T15" i="39"/>
  <c r="U15" i="39"/>
  <c r="W15" i="39"/>
  <c r="Z15" i="39"/>
  <c r="P15" i="38"/>
  <c r="Q17" i="38"/>
  <c r="K14" i="38"/>
  <c r="J17" i="38"/>
  <c r="L17" i="38"/>
  <c r="F14" i="38"/>
  <c r="O15" i="38"/>
  <c r="R17" i="38"/>
  <c r="L15" i="38"/>
  <c r="F15" i="38"/>
  <c r="O16" i="38"/>
  <c r="O14" i="38"/>
  <c r="G14" i="38"/>
  <c r="J14" i="38"/>
  <c r="P14" i="38"/>
  <c r="Q14" i="38"/>
  <c r="R14" i="38"/>
  <c r="K15" i="38"/>
  <c r="F16" i="38"/>
  <c r="L16" i="38"/>
  <c r="N16" i="38"/>
  <c r="O17" i="38"/>
  <c r="P17" i="38"/>
  <c r="N14" i="38"/>
  <c r="G16" i="38"/>
  <c r="J16" i="38"/>
  <c r="P16" i="38"/>
  <c r="Q16" i="38"/>
  <c r="R16" i="38"/>
  <c r="K17" i="38"/>
  <c r="L14" i="38"/>
  <c r="G8" i="37"/>
  <c r="J6" i="37"/>
  <c r="P9" i="36"/>
  <c r="K8" i="36"/>
  <c r="M7" i="37"/>
  <c r="K8" i="37"/>
  <c r="M9" i="37"/>
  <c r="G7" i="37"/>
  <c r="K7" i="37"/>
  <c r="M8" i="37"/>
  <c r="K9" i="37"/>
  <c r="P7" i="37"/>
  <c r="L8" i="37"/>
  <c r="P8" i="37"/>
  <c r="L9" i="36"/>
  <c r="J4" i="36"/>
  <c r="P8" i="36"/>
  <c r="G9" i="36"/>
  <c r="M8" i="35"/>
  <c r="L6" i="36"/>
  <c r="P6" i="36"/>
  <c r="L8" i="36"/>
  <c r="K7" i="36"/>
  <c r="M8" i="36"/>
  <c r="K9" i="36"/>
  <c r="G6" i="36"/>
  <c r="K6" i="36"/>
  <c r="O6" i="36"/>
  <c r="M7" i="36"/>
  <c r="M9" i="36"/>
  <c r="L7" i="36"/>
  <c r="P7" i="36"/>
  <c r="K9" i="34"/>
  <c r="P9" i="34"/>
  <c r="K9" i="35"/>
  <c r="K8" i="35"/>
  <c r="M9" i="35"/>
  <c r="J4" i="35"/>
  <c r="J8" i="35" s="1"/>
  <c r="O8" i="35"/>
  <c r="O6" i="35"/>
  <c r="G8" i="35"/>
  <c r="L6" i="35"/>
  <c r="P6" i="35"/>
  <c r="L8" i="35"/>
  <c r="P8" i="35"/>
  <c r="M6" i="35"/>
  <c r="G7" i="35"/>
  <c r="K7" i="35"/>
  <c r="O7" i="35"/>
  <c r="G9" i="35"/>
  <c r="K6" i="35"/>
  <c r="M7" i="35"/>
  <c r="L7" i="35"/>
  <c r="P7" i="35"/>
  <c r="P9" i="33"/>
  <c r="H8" i="33"/>
  <c r="L9" i="34"/>
  <c r="M8" i="34"/>
  <c r="J2" i="34"/>
  <c r="G6" i="34"/>
  <c r="K6" i="34"/>
  <c r="O6" i="34"/>
  <c r="M7" i="34"/>
  <c r="G8" i="34"/>
  <c r="K8" i="34"/>
  <c r="O8" i="34"/>
  <c r="M9" i="34"/>
  <c r="L6" i="34"/>
  <c r="H8" i="34"/>
  <c r="M6" i="34"/>
  <c r="G7" i="34"/>
  <c r="K7" i="34"/>
  <c r="O7" i="34"/>
  <c r="P6" i="34"/>
  <c r="L8" i="34"/>
  <c r="P8" i="34"/>
  <c r="H7" i="34"/>
  <c r="L7" i="34"/>
  <c r="P7" i="34"/>
  <c r="O9" i="33"/>
  <c r="H9" i="33"/>
  <c r="H6" i="33"/>
  <c r="M6" i="33"/>
  <c r="K7" i="33"/>
  <c r="M8" i="33"/>
  <c r="K9" i="33"/>
  <c r="J2" i="33"/>
  <c r="J6" i="33" s="1"/>
  <c r="G6" i="33"/>
  <c r="K6" i="33"/>
  <c r="O6" i="33"/>
  <c r="M7" i="33"/>
  <c r="O8" i="33"/>
  <c r="L6" i="33"/>
  <c r="P6" i="33"/>
  <c r="L8" i="33"/>
  <c r="P8" i="33"/>
  <c r="O7" i="33"/>
  <c r="H7" i="33"/>
  <c r="L7" i="33"/>
  <c r="P7" i="33"/>
  <c r="K8" i="32"/>
  <c r="P9" i="32"/>
  <c r="H8" i="32"/>
  <c r="G7" i="32"/>
  <c r="H9" i="32"/>
  <c r="H6" i="32"/>
  <c r="L6" i="32"/>
  <c r="P6" i="32"/>
  <c r="L8" i="32"/>
  <c r="P8" i="32"/>
  <c r="M6" i="32"/>
  <c r="K7" i="32"/>
  <c r="O7" i="32"/>
  <c r="M8" i="32"/>
  <c r="K9" i="32"/>
  <c r="O9" i="32"/>
  <c r="H7" i="32"/>
  <c r="L7" i="32"/>
  <c r="P7" i="32"/>
  <c r="L9" i="32"/>
  <c r="G6" i="32"/>
  <c r="K6" i="32"/>
  <c r="O6" i="32"/>
  <c r="M7" i="32"/>
  <c r="K9" i="30"/>
  <c r="M8" i="29"/>
  <c r="K9" i="29"/>
  <c r="H9" i="30"/>
  <c r="K6" i="30"/>
  <c r="M7" i="30"/>
  <c r="O9" i="30"/>
  <c r="J7" i="30"/>
  <c r="J6" i="30"/>
  <c r="M9" i="30"/>
  <c r="P8" i="30"/>
  <c r="H8" i="30"/>
  <c r="J8" i="30"/>
  <c r="G6" i="30"/>
  <c r="O6" i="30"/>
  <c r="G8" i="30"/>
  <c r="K8" i="30"/>
  <c r="O8" i="30"/>
  <c r="H6" i="30"/>
  <c r="L6" i="30"/>
  <c r="P6" i="30"/>
  <c r="L8" i="30"/>
  <c r="M6" i="30"/>
  <c r="G7" i="30"/>
  <c r="K7" i="30"/>
  <c r="O7" i="30"/>
  <c r="H7" i="30"/>
  <c r="L7" i="30"/>
  <c r="P7" i="30"/>
  <c r="G9" i="29"/>
  <c r="P9" i="29"/>
  <c r="J8" i="29"/>
  <c r="P8" i="29"/>
  <c r="H8" i="29"/>
  <c r="L9" i="29"/>
  <c r="H6" i="29"/>
  <c r="P6" i="29"/>
  <c r="L8" i="29"/>
  <c r="G6" i="29"/>
  <c r="K6" i="29"/>
  <c r="O6" i="29"/>
  <c r="M7" i="29"/>
  <c r="G8" i="29"/>
  <c r="K8" i="29"/>
  <c r="O8" i="29"/>
  <c r="M9" i="29"/>
  <c r="L6" i="29"/>
  <c r="M6" i="29"/>
  <c r="G7" i="29"/>
  <c r="K7" i="29"/>
  <c r="O7" i="29"/>
  <c r="H7" i="29"/>
  <c r="L7" i="29"/>
  <c r="P7" i="29"/>
  <c r="J9" i="28"/>
  <c r="M9" i="28"/>
  <c r="P8" i="28"/>
  <c r="K9" i="28"/>
  <c r="H8" i="28"/>
  <c r="O8" i="28"/>
  <c r="L8" i="28"/>
  <c r="J6" i="28"/>
  <c r="H7" i="28"/>
  <c r="L7" i="28"/>
  <c r="P7" i="28"/>
  <c r="J8" i="28"/>
  <c r="H9" i="28"/>
  <c r="L9" i="28"/>
  <c r="P9" i="28"/>
  <c r="G6" i="28"/>
  <c r="K6" i="28"/>
  <c r="O6" i="28"/>
  <c r="M7" i="28"/>
  <c r="G8" i="28"/>
  <c r="K8" i="28"/>
  <c r="H6" i="28"/>
  <c r="L6" i="28"/>
  <c r="P6" i="28"/>
  <c r="J7" i="28"/>
  <c r="M6" i="28"/>
  <c r="G7" i="28"/>
  <c r="K7" i="28"/>
  <c r="O7" i="28"/>
  <c r="H10" i="26"/>
  <c r="P8" i="27"/>
  <c r="H6" i="27"/>
  <c r="K8" i="27"/>
  <c r="K9" i="27"/>
  <c r="P9" i="27"/>
  <c r="M6" i="27"/>
  <c r="L6" i="27"/>
  <c r="P6" i="27"/>
  <c r="H8" i="27"/>
  <c r="L8" i="27"/>
  <c r="K7" i="27"/>
  <c r="O7" i="27"/>
  <c r="M8" i="27"/>
  <c r="O9" i="27"/>
  <c r="J8" i="27"/>
  <c r="G6" i="27"/>
  <c r="K6" i="27"/>
  <c r="O6" i="27"/>
  <c r="M7" i="27"/>
  <c r="M9" i="27"/>
  <c r="H7" i="27"/>
  <c r="L7" i="27"/>
  <c r="P7" i="27"/>
  <c r="M9" i="26"/>
  <c r="K10" i="26"/>
  <c r="P7" i="26"/>
  <c r="L10" i="26"/>
  <c r="J9" i="24"/>
  <c r="H7" i="26"/>
  <c r="J9" i="26"/>
  <c r="G7" i="26"/>
  <c r="K7" i="26"/>
  <c r="O7" i="26"/>
  <c r="M8" i="26"/>
  <c r="G9" i="26"/>
  <c r="K9" i="26"/>
  <c r="O9" i="26"/>
  <c r="M10" i="26"/>
  <c r="L7" i="26"/>
  <c r="L9" i="26"/>
  <c r="P9" i="26"/>
  <c r="J10" i="26"/>
  <c r="M7" i="26"/>
  <c r="G8" i="26"/>
  <c r="K8" i="26"/>
  <c r="O8" i="26"/>
  <c r="J7" i="26"/>
  <c r="H8" i="26"/>
  <c r="L8" i="26"/>
  <c r="P8" i="26"/>
  <c r="J8" i="24"/>
  <c r="J10" i="24"/>
  <c r="J7" i="24"/>
  <c r="K10" i="24"/>
  <c r="P8" i="24"/>
  <c r="L9" i="24"/>
  <c r="H8" i="24"/>
  <c r="O7" i="24"/>
  <c r="M10" i="24"/>
  <c r="L7" i="24"/>
  <c r="G8" i="24"/>
  <c r="N2" i="16"/>
  <c r="N57" i="16" s="1"/>
  <c r="N19" i="16"/>
  <c r="N28" i="16"/>
  <c r="N24" i="16"/>
  <c r="N32" i="16"/>
  <c r="N11" i="16"/>
  <c r="N7" i="16"/>
  <c r="N42" i="16"/>
  <c r="J58" i="16"/>
  <c r="J55" i="16"/>
  <c r="J56" i="16"/>
  <c r="J57" i="16"/>
  <c r="G10" i="24"/>
  <c r="K8" i="24"/>
  <c r="H10" i="24"/>
  <c r="O9" i="24"/>
  <c r="H7" i="24"/>
  <c r="K7" i="24"/>
  <c r="P7" i="24"/>
  <c r="L8" i="24"/>
  <c r="G9" i="24"/>
  <c r="M9" i="24"/>
  <c r="N9" i="24"/>
  <c r="O10" i="24"/>
  <c r="P10" i="24"/>
  <c r="M8" i="24"/>
  <c r="G7" i="24"/>
  <c r="M7" i="24"/>
  <c r="N7" i="24"/>
  <c r="O8" i="24"/>
  <c r="H9" i="24"/>
  <c r="K9" i="24"/>
  <c r="P9" i="24"/>
  <c r="L10" i="24"/>
  <c r="J17" i="20"/>
  <c r="J16" i="20"/>
  <c r="J15" i="20"/>
  <c r="J14" i="20"/>
  <c r="J16" i="22"/>
  <c r="J15" i="22"/>
  <c r="J17" i="22"/>
  <c r="J14" i="23"/>
  <c r="O17" i="23"/>
  <c r="P14" i="23"/>
  <c r="J15" i="23"/>
  <c r="J16" i="23"/>
  <c r="J17" i="23"/>
  <c r="H17" i="23"/>
  <c r="K17" i="23"/>
  <c r="J14" i="22"/>
  <c r="O16" i="22"/>
  <c r="O17" i="22"/>
  <c r="K15" i="22"/>
  <c r="P17" i="22"/>
  <c r="K16" i="22"/>
  <c r="H17" i="22"/>
  <c r="P17" i="23"/>
  <c r="H14" i="23"/>
  <c r="H16" i="23"/>
  <c r="P16" i="23"/>
  <c r="K14" i="23"/>
  <c r="O14" i="23"/>
  <c r="K16" i="23"/>
  <c r="O16" i="23"/>
  <c r="K15" i="23"/>
  <c r="O15" i="23"/>
  <c r="H15" i="23"/>
  <c r="P15" i="23"/>
  <c r="J17" i="21"/>
  <c r="J15" i="21"/>
  <c r="J14" i="21"/>
  <c r="J16" i="21"/>
  <c r="P16" i="21"/>
  <c r="K17" i="21"/>
  <c r="O17" i="21"/>
  <c r="H16" i="21"/>
  <c r="K14" i="22"/>
  <c r="O14" i="22"/>
  <c r="K17" i="22"/>
  <c r="H14" i="22"/>
  <c r="P14" i="22"/>
  <c r="H16" i="22"/>
  <c r="P16" i="22"/>
  <c r="O15" i="22"/>
  <c r="H15" i="22"/>
  <c r="P15" i="22"/>
  <c r="O17" i="20"/>
  <c r="H17" i="20"/>
  <c r="K17" i="20"/>
  <c r="P17" i="20"/>
  <c r="P14" i="20"/>
  <c r="H15" i="21"/>
  <c r="P15" i="21"/>
  <c r="H17" i="21"/>
  <c r="P17" i="21"/>
  <c r="K14" i="21"/>
  <c r="O14" i="21"/>
  <c r="K16" i="21"/>
  <c r="O16" i="21"/>
  <c r="H14" i="21"/>
  <c r="P14" i="21"/>
  <c r="K15" i="21"/>
  <c r="O15" i="21"/>
  <c r="J15" i="19"/>
  <c r="J17" i="19"/>
  <c r="J14" i="19"/>
  <c r="O17" i="19"/>
  <c r="H17" i="19"/>
  <c r="P17" i="19"/>
  <c r="O16" i="19"/>
  <c r="K17" i="19"/>
  <c r="H16" i="20"/>
  <c r="P16" i="20"/>
  <c r="K14" i="20"/>
  <c r="O14" i="20"/>
  <c r="K16" i="20"/>
  <c r="O16" i="20"/>
  <c r="H14" i="20"/>
  <c r="K15" i="20"/>
  <c r="O15" i="20"/>
  <c r="H15" i="20"/>
  <c r="P15" i="20"/>
  <c r="J16" i="18"/>
  <c r="J17" i="18"/>
  <c r="J15" i="18"/>
  <c r="J14" i="18"/>
  <c r="P17" i="18"/>
  <c r="H14" i="19"/>
  <c r="K16" i="19"/>
  <c r="H17" i="18"/>
  <c r="K16" i="18"/>
  <c r="K14" i="19"/>
  <c r="P14" i="19"/>
  <c r="H16" i="19"/>
  <c r="P16" i="19"/>
  <c r="O14" i="19"/>
  <c r="K15" i="19"/>
  <c r="O15" i="19"/>
  <c r="H15" i="19"/>
  <c r="P15" i="19"/>
  <c r="J15" i="17"/>
  <c r="J17" i="17"/>
  <c r="AD57" i="16"/>
  <c r="L58" i="16"/>
  <c r="V55" i="16"/>
  <c r="Q55" i="16"/>
  <c r="U58" i="16"/>
  <c r="Y56" i="16"/>
  <c r="S56" i="16"/>
  <c r="AE57" i="16"/>
  <c r="H16" i="18"/>
  <c r="O16" i="18"/>
  <c r="K17" i="18"/>
  <c r="H14" i="18"/>
  <c r="K15" i="18"/>
  <c r="O15" i="18"/>
  <c r="O17" i="18"/>
  <c r="K14" i="18"/>
  <c r="O14" i="18"/>
  <c r="P14" i="18"/>
  <c r="P16" i="18"/>
  <c r="H15" i="18"/>
  <c r="P15" i="18"/>
  <c r="K15" i="17"/>
  <c r="Y55" i="16"/>
  <c r="O57" i="16"/>
  <c r="Z58" i="16"/>
  <c r="S55" i="16"/>
  <c r="V56" i="16"/>
  <c r="O14" i="17"/>
  <c r="H15" i="17"/>
  <c r="P15" i="17"/>
  <c r="H14" i="17"/>
  <c r="K14" i="17"/>
  <c r="P14" i="17"/>
  <c r="L15" i="17"/>
  <c r="G16" i="17"/>
  <c r="M16" i="17"/>
  <c r="N16" i="17"/>
  <c r="O17" i="17"/>
  <c r="G15" i="17"/>
  <c r="M15" i="17"/>
  <c r="N15" i="17"/>
  <c r="O16" i="17"/>
  <c r="H17" i="17"/>
  <c r="K17" i="17"/>
  <c r="P17" i="17"/>
  <c r="G14" i="17"/>
  <c r="M14" i="17"/>
  <c r="N14" i="17"/>
  <c r="O15" i="17"/>
  <c r="H16" i="17"/>
  <c r="K16" i="17"/>
  <c r="P16" i="17"/>
  <c r="L17" i="17"/>
  <c r="U55" i="16"/>
  <c r="G55" i="16"/>
  <c r="K57" i="16"/>
  <c r="P58" i="16"/>
  <c r="AC56" i="16"/>
  <c r="K56" i="16"/>
  <c r="O56" i="16"/>
  <c r="AD56" i="16"/>
  <c r="AE56" i="16"/>
  <c r="L57" i="16"/>
  <c r="P57" i="16"/>
  <c r="U57" i="16"/>
  <c r="Z57" i="16"/>
  <c r="G58" i="16"/>
  <c r="Q58" i="16"/>
  <c r="AB58" i="16"/>
  <c r="K55" i="16"/>
  <c r="O55" i="16"/>
  <c r="AD55" i="16"/>
  <c r="AE55" i="16"/>
  <c r="L56" i="16"/>
  <c r="P56" i="16"/>
  <c r="U56" i="16"/>
  <c r="Z56" i="16"/>
  <c r="G57" i="16"/>
  <c r="Q57" i="16"/>
  <c r="AB57" i="16"/>
  <c r="S58" i="16"/>
  <c r="V58" i="16"/>
  <c r="Y58" i="16"/>
  <c r="AC58" i="16"/>
  <c r="AC55" i="16"/>
  <c r="L55" i="16"/>
  <c r="P55" i="16"/>
  <c r="Z55" i="16"/>
  <c r="G56" i="16"/>
  <c r="Q56" i="16"/>
  <c r="AB56" i="16"/>
  <c r="S57" i="16"/>
  <c r="V57" i="16"/>
  <c r="Y57" i="16"/>
  <c r="AC57" i="16"/>
  <c r="K58" i="16"/>
  <c r="O58" i="16"/>
  <c r="AD58" i="16"/>
  <c r="AE58" i="16"/>
  <c r="J2" i="14"/>
  <c r="J3" i="14"/>
  <c r="J4" i="14"/>
  <c r="J5" i="14"/>
  <c r="J6" i="14"/>
  <c r="J7" i="14"/>
  <c r="J8" i="14"/>
  <c r="J9" i="14"/>
  <c r="J10" i="14"/>
  <c r="J11" i="14"/>
  <c r="J12" i="14"/>
  <c r="J13" i="14"/>
  <c r="G2" i="14"/>
  <c r="N2" i="14"/>
  <c r="O2" i="14"/>
  <c r="M2" i="14" s="1"/>
  <c r="P2" i="14"/>
  <c r="S32" i="15"/>
  <c r="P32" i="15"/>
  <c r="K32" i="15"/>
  <c r="H32" i="15"/>
  <c r="G32" i="15"/>
  <c r="F32" i="15"/>
  <c r="E32" i="15"/>
  <c r="D32" i="15"/>
  <c r="C32" i="15"/>
  <c r="S31" i="15"/>
  <c r="P31" i="15"/>
  <c r="K31" i="15"/>
  <c r="H31" i="15"/>
  <c r="G31" i="15"/>
  <c r="F31" i="15"/>
  <c r="E31" i="15"/>
  <c r="D31" i="15"/>
  <c r="C31" i="15"/>
  <c r="S30" i="15"/>
  <c r="P30" i="15"/>
  <c r="K30" i="15"/>
  <c r="H30" i="15"/>
  <c r="G30" i="15"/>
  <c r="F30" i="15"/>
  <c r="E30" i="15"/>
  <c r="D30" i="15"/>
  <c r="C30" i="15"/>
  <c r="S29" i="15"/>
  <c r="P29" i="15"/>
  <c r="K29" i="15"/>
  <c r="H29" i="15"/>
  <c r="G29" i="15"/>
  <c r="F29" i="15"/>
  <c r="E29" i="15"/>
  <c r="D29" i="15"/>
  <c r="C29" i="15"/>
  <c r="T30" i="15"/>
  <c r="Q29" i="15"/>
  <c r="J29" i="15"/>
  <c r="R30" i="15"/>
  <c r="N31" i="15"/>
  <c r="W27" i="15"/>
  <c r="V27" i="15"/>
  <c r="O27" i="15"/>
  <c r="M27" i="15"/>
  <c r="L27" i="15" s="1"/>
  <c r="W26" i="15"/>
  <c r="V26" i="15"/>
  <c r="O26" i="15"/>
  <c r="W25" i="15"/>
  <c r="V25" i="15"/>
  <c r="O25" i="15"/>
  <c r="W24" i="15"/>
  <c r="V24" i="15"/>
  <c r="O24" i="15"/>
  <c r="M24" i="15"/>
  <c r="L24" i="15" s="1"/>
  <c r="W23" i="15"/>
  <c r="V23" i="15"/>
  <c r="O23" i="15"/>
  <c r="M23" i="15"/>
  <c r="L23" i="15" s="1"/>
  <c r="W22" i="15"/>
  <c r="V22" i="15"/>
  <c r="O22" i="15"/>
  <c r="M22" i="15"/>
  <c r="L22" i="15" s="1"/>
  <c r="W21" i="15"/>
  <c r="O21" i="15"/>
  <c r="W20" i="15"/>
  <c r="O20" i="15"/>
  <c r="W19" i="15"/>
  <c r="O19" i="15"/>
  <c r="W18" i="15"/>
  <c r="O18" i="15"/>
  <c r="M18" i="15"/>
  <c r="L18" i="15" s="1"/>
  <c r="O17" i="15"/>
  <c r="M17" i="15"/>
  <c r="L17" i="15" s="1"/>
  <c r="W16" i="15"/>
  <c r="O16" i="15"/>
  <c r="M16" i="15"/>
  <c r="L16" i="15" s="1"/>
  <c r="W15" i="15"/>
  <c r="O15" i="15"/>
  <c r="W14" i="15"/>
  <c r="V14" i="15"/>
  <c r="O14" i="15"/>
  <c r="M14" i="15"/>
  <c r="L14" i="15" s="1"/>
  <c r="W13" i="15"/>
  <c r="V13" i="15"/>
  <c r="O13" i="15"/>
  <c r="W12" i="15"/>
  <c r="O12" i="15"/>
  <c r="W11" i="15"/>
  <c r="O11" i="15"/>
  <c r="W10" i="15"/>
  <c r="V10" i="15"/>
  <c r="O10" i="15"/>
  <c r="W9" i="15"/>
  <c r="O9" i="15"/>
  <c r="W8" i="15"/>
  <c r="V8" i="15"/>
  <c r="O8" i="15"/>
  <c r="W7" i="15"/>
  <c r="V7" i="15"/>
  <c r="O7" i="15"/>
  <c r="V6" i="15"/>
  <c r="O6" i="15"/>
  <c r="W5" i="15"/>
  <c r="V5" i="15"/>
  <c r="O5" i="15"/>
  <c r="W4" i="15"/>
  <c r="O4" i="15"/>
  <c r="W3" i="15"/>
  <c r="O3" i="15"/>
  <c r="J9" i="35" l="1"/>
  <c r="N56" i="16"/>
  <c r="N55" i="16"/>
  <c r="J9" i="37"/>
  <c r="J7" i="37"/>
  <c r="J10" i="37"/>
  <c r="J8" i="37"/>
  <c r="J8" i="36"/>
  <c r="J6" i="36"/>
  <c r="J9" i="36"/>
  <c r="J7" i="36"/>
  <c r="J6" i="35"/>
  <c r="J7" i="35"/>
  <c r="J8" i="34"/>
  <c r="J6" i="34"/>
  <c r="J9" i="34"/>
  <c r="J7" i="34"/>
  <c r="J9" i="33"/>
  <c r="J7" i="33"/>
  <c r="J8" i="33"/>
  <c r="J9" i="32"/>
  <c r="J7" i="32"/>
  <c r="J6" i="32"/>
  <c r="J8" i="32"/>
  <c r="J9" i="30"/>
  <c r="J7" i="29"/>
  <c r="J9" i="29"/>
  <c r="J6" i="29"/>
  <c r="J6" i="27"/>
  <c r="J7" i="27"/>
  <c r="J9" i="27"/>
  <c r="J8" i="26"/>
  <c r="N58" i="16"/>
  <c r="L31" i="15"/>
  <c r="L30" i="15"/>
  <c r="L32" i="15"/>
  <c r="L29" i="15"/>
  <c r="V29" i="15"/>
  <c r="W30" i="15"/>
  <c r="V30" i="15"/>
  <c r="M30" i="15"/>
  <c r="O30" i="15"/>
  <c r="J16" i="14"/>
  <c r="J15" i="14"/>
  <c r="J14" i="14"/>
  <c r="J17" i="14"/>
  <c r="O32" i="15"/>
  <c r="T32" i="15"/>
  <c r="J30" i="15"/>
  <c r="U29" i="15"/>
  <c r="W29" i="15"/>
  <c r="N30" i="15"/>
  <c r="O31" i="15"/>
  <c r="T31" i="15"/>
  <c r="Q32" i="15"/>
  <c r="U32" i="15"/>
  <c r="N29" i="15"/>
  <c r="Q31" i="15"/>
  <c r="U31" i="15"/>
  <c r="J32" i="15"/>
  <c r="M32" i="15"/>
  <c r="R32" i="15"/>
  <c r="V32" i="15"/>
  <c r="W32" i="15"/>
  <c r="M29" i="15"/>
  <c r="R29" i="15"/>
  <c r="O29" i="15"/>
  <c r="T29" i="15"/>
  <c r="Q30" i="15"/>
  <c r="U30" i="15"/>
  <c r="J31" i="15"/>
  <c r="M31" i="15"/>
  <c r="R31" i="15"/>
  <c r="V31" i="15"/>
  <c r="W31" i="15"/>
  <c r="N32" i="15"/>
  <c r="R17" i="14" l="1"/>
  <c r="L17" i="14"/>
  <c r="I17" i="14"/>
  <c r="H17" i="14"/>
  <c r="F17" i="14"/>
  <c r="E17" i="14"/>
  <c r="D17" i="14"/>
  <c r="C17" i="14"/>
  <c r="R16" i="14"/>
  <c r="L16" i="14"/>
  <c r="I16" i="14"/>
  <c r="H16" i="14"/>
  <c r="F16" i="14"/>
  <c r="E16" i="14"/>
  <c r="D16" i="14"/>
  <c r="C16" i="14"/>
  <c r="R15" i="14"/>
  <c r="L15" i="14"/>
  <c r="I15" i="14"/>
  <c r="H15" i="14"/>
  <c r="F15" i="14"/>
  <c r="E15" i="14"/>
  <c r="D15" i="14"/>
  <c r="C15" i="14"/>
  <c r="R14" i="14"/>
  <c r="L14" i="14"/>
  <c r="I14" i="14"/>
  <c r="H14" i="14"/>
  <c r="F14" i="14"/>
  <c r="E14" i="14"/>
  <c r="D14" i="14"/>
  <c r="U13" i="14"/>
  <c r="S13" i="14"/>
  <c r="P13" i="14"/>
  <c r="O13" i="14"/>
  <c r="N13" i="14"/>
  <c r="K13" i="14"/>
  <c r="G13" i="14"/>
  <c r="U12" i="14"/>
  <c r="S12" i="14"/>
  <c r="Q12" i="14"/>
  <c r="P12" i="14"/>
  <c r="O12" i="14"/>
  <c r="N12" i="14"/>
  <c r="K12" i="14"/>
  <c r="G12" i="14"/>
  <c r="U11" i="14"/>
  <c r="S11" i="14"/>
  <c r="Q11" i="14"/>
  <c r="P11" i="14"/>
  <c r="O11" i="14"/>
  <c r="N11" i="14"/>
  <c r="K11" i="14"/>
  <c r="U10" i="14"/>
  <c r="S10" i="14"/>
  <c r="P10" i="14"/>
  <c r="O10" i="14"/>
  <c r="N10" i="14"/>
  <c r="K10" i="14"/>
  <c r="G10" i="14"/>
  <c r="U9" i="14"/>
  <c r="S9" i="14"/>
  <c r="P9" i="14"/>
  <c r="O9" i="14"/>
  <c r="N9" i="14"/>
  <c r="K9" i="14"/>
  <c r="G9" i="14"/>
  <c r="U8" i="14"/>
  <c r="S8" i="14"/>
  <c r="P8" i="14"/>
  <c r="O8" i="14"/>
  <c r="N8" i="14"/>
  <c r="K8" i="14"/>
  <c r="G8" i="14"/>
  <c r="U7" i="14"/>
  <c r="S7" i="14"/>
  <c r="O7" i="14"/>
  <c r="M7" i="14" s="1"/>
  <c r="N7" i="14"/>
  <c r="K7" i="14"/>
  <c r="U6" i="14"/>
  <c r="S6" i="14"/>
  <c r="P6" i="14"/>
  <c r="O6" i="14"/>
  <c r="N6" i="14"/>
  <c r="U5" i="14"/>
  <c r="S5" i="14"/>
  <c r="P5" i="14"/>
  <c r="O5" i="14"/>
  <c r="N5" i="14"/>
  <c r="G5" i="14"/>
  <c r="U4" i="14"/>
  <c r="S4" i="14"/>
  <c r="P4" i="14"/>
  <c r="O4" i="14"/>
  <c r="N4" i="14"/>
  <c r="G4" i="14"/>
  <c r="U3" i="14"/>
  <c r="P3" i="14"/>
  <c r="O3" i="14"/>
  <c r="N3" i="14"/>
  <c r="G3" i="14"/>
  <c r="I6" i="12"/>
  <c r="I12" i="12"/>
  <c r="I13" i="12"/>
  <c r="M10" i="14" l="1"/>
  <c r="M3" i="14"/>
  <c r="M6" i="14"/>
  <c r="M8" i="14"/>
  <c r="M11" i="14"/>
  <c r="M12" i="14"/>
  <c r="M13" i="14"/>
  <c r="M5" i="14"/>
  <c r="M9" i="14"/>
  <c r="M4" i="14"/>
  <c r="S17" i="14"/>
  <c r="G16" i="14"/>
  <c r="N15" i="14"/>
  <c r="U14" i="14"/>
  <c r="P17" i="14"/>
  <c r="K15" i="14"/>
  <c r="Q15" i="14"/>
  <c r="S16" i="14"/>
  <c r="P16" i="14"/>
  <c r="O15" i="14"/>
  <c r="K14" i="14"/>
  <c r="T14" i="14"/>
  <c r="G17" i="14"/>
  <c r="U15" i="14"/>
  <c r="O16" i="14"/>
  <c r="Q14" i="14"/>
  <c r="T17" i="14"/>
  <c r="O14" i="14"/>
  <c r="G15" i="14"/>
  <c r="P15" i="14"/>
  <c r="S15" i="14"/>
  <c r="T16" i="14"/>
  <c r="K17" i="14"/>
  <c r="N17" i="14"/>
  <c r="Q17" i="14"/>
  <c r="U17" i="14"/>
  <c r="N14" i="14"/>
  <c r="G14" i="14"/>
  <c r="P14" i="14"/>
  <c r="S14" i="14"/>
  <c r="T15" i="14"/>
  <c r="K16" i="14"/>
  <c r="N16" i="14"/>
  <c r="Q16" i="14"/>
  <c r="U16" i="14"/>
  <c r="O17" i="14"/>
  <c r="AN17" i="13"/>
  <c r="AL17" i="13"/>
  <c r="AH17" i="13"/>
  <c r="AE17" i="13"/>
  <c r="AA17" i="13"/>
  <c r="Y17" i="13"/>
  <c r="L17" i="13"/>
  <c r="I17" i="13"/>
  <c r="H17" i="13"/>
  <c r="F17" i="13"/>
  <c r="E17" i="13"/>
  <c r="D17" i="13"/>
  <c r="C17" i="13"/>
  <c r="AN16" i="13"/>
  <c r="AL16" i="13"/>
  <c r="AH16" i="13"/>
  <c r="AE16" i="13"/>
  <c r="AA16" i="13"/>
  <c r="Y16" i="13"/>
  <c r="L16" i="13"/>
  <c r="I16" i="13"/>
  <c r="H16" i="13"/>
  <c r="F16" i="13"/>
  <c r="E16" i="13"/>
  <c r="D16" i="13"/>
  <c r="C16" i="13"/>
  <c r="AN15" i="13"/>
  <c r="AL15" i="13"/>
  <c r="AH15" i="13"/>
  <c r="AE15" i="13"/>
  <c r="AA15" i="13"/>
  <c r="Y15" i="13"/>
  <c r="L15" i="13"/>
  <c r="I15" i="13"/>
  <c r="H15" i="13"/>
  <c r="F15" i="13"/>
  <c r="E15" i="13"/>
  <c r="D15" i="13"/>
  <c r="C15" i="13"/>
  <c r="AN14" i="13"/>
  <c r="AL14" i="13"/>
  <c r="AH14" i="13"/>
  <c r="AE14" i="13"/>
  <c r="AA14" i="13"/>
  <c r="Y14" i="13"/>
  <c r="L14" i="13"/>
  <c r="I14" i="13"/>
  <c r="H14" i="13"/>
  <c r="F14" i="13"/>
  <c r="E14" i="13"/>
  <c r="D14" i="13"/>
  <c r="C14" i="13"/>
  <c r="AC17" i="13"/>
  <c r="AM13" i="13"/>
  <c r="AJ13" i="13"/>
  <c r="AI13" i="13"/>
  <c r="AF13" i="13"/>
  <c r="AD13" i="13"/>
  <c r="AB13" i="13"/>
  <c r="Z13" i="13"/>
  <c r="X13" i="13"/>
  <c r="V13" i="13"/>
  <c r="U13" i="13"/>
  <c r="T13" i="13"/>
  <c r="S13" i="13"/>
  <c r="P13" i="13"/>
  <c r="O13" i="13"/>
  <c r="N13" i="13"/>
  <c r="K13" i="13"/>
  <c r="J13" i="13"/>
  <c r="G13" i="13"/>
  <c r="AJ12" i="13"/>
  <c r="AI12" i="13"/>
  <c r="AF12" i="13"/>
  <c r="AD12" i="13"/>
  <c r="AB12" i="13"/>
  <c r="Z12" i="13"/>
  <c r="X12" i="13"/>
  <c r="V12" i="13"/>
  <c r="U12" i="13"/>
  <c r="S12" i="13"/>
  <c r="P12" i="13"/>
  <c r="O12" i="13"/>
  <c r="M12" i="13" s="1"/>
  <c r="N12" i="13"/>
  <c r="K12" i="13"/>
  <c r="J12" i="13"/>
  <c r="G12" i="13"/>
  <c r="AM11" i="13"/>
  <c r="AI11" i="13"/>
  <c r="AF11" i="13"/>
  <c r="AD11" i="13"/>
  <c r="AB11" i="13"/>
  <c r="Z11" i="13"/>
  <c r="X11" i="13"/>
  <c r="W11" i="13"/>
  <c r="V11" i="13"/>
  <c r="T11" i="13"/>
  <c r="S11" i="13"/>
  <c r="P11" i="13"/>
  <c r="O11" i="13"/>
  <c r="N11" i="13"/>
  <c r="J11" i="13"/>
  <c r="R16" i="13"/>
  <c r="AM10" i="13"/>
  <c r="AI10" i="13"/>
  <c r="AF10" i="13"/>
  <c r="AD10" i="13"/>
  <c r="AB10" i="13"/>
  <c r="Z10" i="13"/>
  <c r="X10" i="13"/>
  <c r="V10" i="13"/>
  <c r="T10" i="13"/>
  <c r="S10" i="13"/>
  <c r="P10" i="13"/>
  <c r="O10" i="13"/>
  <c r="M10" i="13" s="1"/>
  <c r="N10" i="13"/>
  <c r="K10" i="13"/>
  <c r="J10" i="13"/>
  <c r="G10" i="13"/>
  <c r="AM9" i="13"/>
  <c r="AI9" i="13"/>
  <c r="AF9" i="13"/>
  <c r="AD9" i="13"/>
  <c r="AB9" i="13"/>
  <c r="Z9" i="13"/>
  <c r="X9" i="13"/>
  <c r="S9" i="13"/>
  <c r="P9" i="13"/>
  <c r="O9" i="13"/>
  <c r="N9" i="13"/>
  <c r="J9" i="13"/>
  <c r="G9" i="13"/>
  <c r="AM8" i="13"/>
  <c r="AI8" i="13"/>
  <c r="AF8" i="13"/>
  <c r="AD8" i="13"/>
  <c r="AB8" i="13"/>
  <c r="Z8" i="13"/>
  <c r="X8" i="13"/>
  <c r="T8" i="13"/>
  <c r="S8" i="13"/>
  <c r="P8" i="13"/>
  <c r="O8" i="13"/>
  <c r="M8" i="13" s="1"/>
  <c r="N8" i="13"/>
  <c r="J8" i="13"/>
  <c r="G8" i="13"/>
  <c r="AM7" i="13"/>
  <c r="AI7" i="13"/>
  <c r="AF7" i="13"/>
  <c r="AD7" i="13"/>
  <c r="AB7" i="13"/>
  <c r="Z7" i="13"/>
  <c r="X7" i="13"/>
  <c r="S7" i="13"/>
  <c r="O7" i="13"/>
  <c r="M7" i="13" s="1"/>
  <c r="Q7" i="13" s="1"/>
  <c r="N7" i="13"/>
  <c r="J7" i="13"/>
  <c r="AM6" i="13"/>
  <c r="AJ6" i="13"/>
  <c r="AI6" i="13"/>
  <c r="AF6" i="13"/>
  <c r="AD6" i="13"/>
  <c r="AB6" i="13"/>
  <c r="Z6" i="13"/>
  <c r="U6" i="13"/>
  <c r="S6" i="13"/>
  <c r="P6" i="13"/>
  <c r="O6" i="13"/>
  <c r="N6" i="13"/>
  <c r="AM5" i="13"/>
  <c r="AJ5" i="13"/>
  <c r="AI5" i="13"/>
  <c r="AF5" i="13"/>
  <c r="AD5" i="13"/>
  <c r="AB5" i="13"/>
  <c r="Z5" i="13"/>
  <c r="X5" i="13"/>
  <c r="U5" i="13"/>
  <c r="T5" i="13"/>
  <c r="S5" i="13"/>
  <c r="P5" i="13"/>
  <c r="O5" i="13"/>
  <c r="N5" i="13"/>
  <c r="G5" i="13"/>
  <c r="AM4" i="13"/>
  <c r="AJ4" i="13"/>
  <c r="AI4" i="13"/>
  <c r="AF4" i="13"/>
  <c r="AD4" i="13"/>
  <c r="AB4" i="13"/>
  <c r="Z4" i="13"/>
  <c r="X4" i="13"/>
  <c r="V4" i="13"/>
  <c r="U4" i="13"/>
  <c r="S4" i="13"/>
  <c r="P4" i="13"/>
  <c r="O4" i="13"/>
  <c r="N4" i="13"/>
  <c r="G4" i="13"/>
  <c r="AM3" i="13"/>
  <c r="AI3" i="13"/>
  <c r="AD3" i="13"/>
  <c r="Z3" i="13"/>
  <c r="T3" i="13"/>
  <c r="S3" i="13"/>
  <c r="P3" i="13"/>
  <c r="O3" i="13"/>
  <c r="N3" i="13"/>
  <c r="G3" i="13"/>
  <c r="AI2" i="13"/>
  <c r="AD2" i="13"/>
  <c r="Z2" i="13"/>
  <c r="T2" i="13"/>
  <c r="S2" i="13"/>
  <c r="P2" i="13"/>
  <c r="O2" i="13"/>
  <c r="N2" i="13"/>
  <c r="G2" i="13"/>
  <c r="H17" i="12"/>
  <c r="F17" i="12"/>
  <c r="E17" i="12"/>
  <c r="D17" i="12"/>
  <c r="C17" i="12"/>
  <c r="H16" i="12"/>
  <c r="F16" i="12"/>
  <c r="E16" i="12"/>
  <c r="D16" i="12"/>
  <c r="C16" i="12"/>
  <c r="H15" i="12"/>
  <c r="F15" i="12"/>
  <c r="E15" i="12"/>
  <c r="D15" i="12"/>
  <c r="C15" i="12"/>
  <c r="H14" i="12"/>
  <c r="F14" i="12"/>
  <c r="E14" i="12"/>
  <c r="D14" i="12"/>
  <c r="C14" i="12"/>
  <c r="O13" i="12"/>
  <c r="N13" i="12"/>
  <c r="O12" i="12"/>
  <c r="O11" i="12"/>
  <c r="N11" i="12"/>
  <c r="J11" i="12"/>
  <c r="I11" i="12" s="1"/>
  <c r="J10" i="12"/>
  <c r="I10" i="12" s="1"/>
  <c r="O9" i="12"/>
  <c r="J9" i="12"/>
  <c r="I9" i="12" s="1"/>
  <c r="O8" i="12"/>
  <c r="N8" i="12"/>
  <c r="J8" i="12"/>
  <c r="I8" i="12" s="1"/>
  <c r="J7" i="12"/>
  <c r="I7" i="12" s="1"/>
  <c r="O6" i="12"/>
  <c r="J5" i="12"/>
  <c r="I5" i="12" s="1"/>
  <c r="O4" i="12"/>
  <c r="J4" i="12"/>
  <c r="I4" i="12" s="1"/>
  <c r="J3" i="12"/>
  <c r="I3" i="12" s="1"/>
  <c r="J2" i="12"/>
  <c r="I2" i="12" s="1"/>
  <c r="I17" i="12" s="1"/>
  <c r="W9" i="11"/>
  <c r="O9" i="11"/>
  <c r="I9" i="11"/>
  <c r="H9" i="11"/>
  <c r="G9" i="11"/>
  <c r="F9" i="11"/>
  <c r="E9" i="11"/>
  <c r="D9" i="11"/>
  <c r="C9" i="11"/>
  <c r="W8" i="11"/>
  <c r="O8" i="11"/>
  <c r="I8" i="11"/>
  <c r="H8" i="11"/>
  <c r="G8" i="11"/>
  <c r="F8" i="11"/>
  <c r="E8" i="11"/>
  <c r="D8" i="11"/>
  <c r="C8" i="11"/>
  <c r="W7" i="11"/>
  <c r="O7" i="11"/>
  <c r="I7" i="11"/>
  <c r="H7" i="11"/>
  <c r="G7" i="11"/>
  <c r="F7" i="11"/>
  <c r="E7" i="11"/>
  <c r="D7" i="11"/>
  <c r="C7" i="11"/>
  <c r="W6" i="11"/>
  <c r="O6" i="11"/>
  <c r="I6" i="11"/>
  <c r="H6" i="11"/>
  <c r="G6" i="11"/>
  <c r="F6" i="11"/>
  <c r="E6" i="11"/>
  <c r="D6" i="11"/>
  <c r="C6" i="11"/>
  <c r="X6" i="11"/>
  <c r="Z9" i="11"/>
  <c r="R8" i="11"/>
  <c r="Z7" i="11"/>
  <c r="P7" i="11"/>
  <c r="L8" i="11"/>
  <c r="S8" i="11"/>
  <c r="Y5" i="11"/>
  <c r="U5" i="11"/>
  <c r="T5" i="11"/>
  <c r="Q5" i="11"/>
  <c r="M5" i="11"/>
  <c r="K5" i="11"/>
  <c r="J5" i="11" s="1"/>
  <c r="Y4" i="11"/>
  <c r="T4" i="11"/>
  <c r="Q4" i="11"/>
  <c r="K4" i="11"/>
  <c r="J4" i="11" s="1"/>
  <c r="Y3" i="11"/>
  <c r="V3" i="11"/>
  <c r="V9" i="11" s="1"/>
  <c r="U3" i="11"/>
  <c r="T3" i="11"/>
  <c r="Q3" i="11"/>
  <c r="M3" i="11"/>
  <c r="K3" i="11"/>
  <c r="J3" i="11" s="1"/>
  <c r="Y2" i="11"/>
  <c r="Q2" i="11"/>
  <c r="M2" i="11"/>
  <c r="K2" i="11"/>
  <c r="J2" i="11" s="1"/>
  <c r="I3" i="9"/>
  <c r="I4" i="9"/>
  <c r="I5" i="9"/>
  <c r="I6" i="9"/>
  <c r="I7" i="9"/>
  <c r="I8" i="9"/>
  <c r="I9" i="9"/>
  <c r="I10" i="9"/>
  <c r="I11" i="9"/>
  <c r="I12" i="9"/>
  <c r="I2" i="9"/>
  <c r="T2" i="10"/>
  <c r="R2" i="10"/>
  <c r="P2" i="10"/>
  <c r="O2" i="10"/>
  <c r="N2" i="10"/>
  <c r="J2" i="10"/>
  <c r="I14" i="12" l="1"/>
  <c r="I16" i="12"/>
  <c r="I15" i="12"/>
  <c r="M16" i="14"/>
  <c r="M14" i="14"/>
  <c r="M17" i="14"/>
  <c r="M15" i="14"/>
  <c r="M2" i="13"/>
  <c r="Q2" i="13" s="1"/>
  <c r="M6" i="13"/>
  <c r="Q6" i="13" s="1"/>
  <c r="M11" i="13"/>
  <c r="Q11" i="13" s="1"/>
  <c r="M5" i="13"/>
  <c r="Q5" i="13" s="1"/>
  <c r="M3" i="13"/>
  <c r="Q8" i="13"/>
  <c r="Q10" i="13"/>
  <c r="Q12" i="13"/>
  <c r="M13" i="13"/>
  <c r="Q13" i="13" s="1"/>
  <c r="M4" i="13"/>
  <c r="Q4" i="13" s="1"/>
  <c r="M9" i="13"/>
  <c r="Q9" i="13" s="1"/>
  <c r="T15" i="13"/>
  <c r="AF14" i="13"/>
  <c r="V14" i="13"/>
  <c r="AJ17" i="13"/>
  <c r="K14" i="13"/>
  <c r="W15" i="13"/>
  <c r="AG14" i="13"/>
  <c r="AK14" i="13"/>
  <c r="AG17" i="13"/>
  <c r="O16" i="13"/>
  <c r="N14" i="13"/>
  <c r="AI15" i="13"/>
  <c r="M2" i="10"/>
  <c r="AK17" i="13"/>
  <c r="N15" i="12"/>
  <c r="O15" i="12"/>
  <c r="J16" i="12"/>
  <c r="G16" i="12"/>
  <c r="L17" i="12"/>
  <c r="N15" i="13"/>
  <c r="G17" i="13"/>
  <c r="P17" i="13"/>
  <c r="Z14" i="13"/>
  <c r="X14" i="13"/>
  <c r="S17" i="13"/>
  <c r="AD14" i="13"/>
  <c r="AM15" i="13"/>
  <c r="AB16" i="13"/>
  <c r="J15" i="13"/>
  <c r="K16" i="13"/>
  <c r="AF16" i="13"/>
  <c r="X16" i="13"/>
  <c r="S14" i="13"/>
  <c r="AD17" i="13"/>
  <c r="AM14" i="13"/>
  <c r="P16" i="13"/>
  <c r="U17" i="13"/>
  <c r="AB15" i="13"/>
  <c r="Z17" i="13"/>
  <c r="G16" i="13"/>
  <c r="V17" i="13"/>
  <c r="AJ16" i="13"/>
  <c r="O15" i="13"/>
  <c r="J14" i="13"/>
  <c r="AF15" i="13"/>
  <c r="X15" i="13"/>
  <c r="T14" i="13"/>
  <c r="K15" i="13"/>
  <c r="W14" i="13"/>
  <c r="AC16" i="13"/>
  <c r="R15" i="13"/>
  <c r="AG16" i="13"/>
  <c r="O14" i="13"/>
  <c r="R14" i="13"/>
  <c r="AB14" i="13"/>
  <c r="G15" i="13"/>
  <c r="P15" i="13"/>
  <c r="S15" i="13"/>
  <c r="U15" i="13"/>
  <c r="AC15" i="13"/>
  <c r="AG15" i="13"/>
  <c r="AJ15" i="13"/>
  <c r="V16" i="13"/>
  <c r="Z16" i="13"/>
  <c r="AD16" i="13"/>
  <c r="AK16" i="13"/>
  <c r="J17" i="13"/>
  <c r="N17" i="13"/>
  <c r="T17" i="13"/>
  <c r="W17" i="13"/>
  <c r="AI17" i="13"/>
  <c r="AM17" i="13"/>
  <c r="AI14" i="13"/>
  <c r="U16" i="13"/>
  <c r="AJ14" i="13"/>
  <c r="V15" i="13"/>
  <c r="Z15" i="13"/>
  <c r="AD15" i="13"/>
  <c r="AK15" i="13"/>
  <c r="J16" i="13"/>
  <c r="N16" i="13"/>
  <c r="T16" i="13"/>
  <c r="W16" i="13"/>
  <c r="AI16" i="13"/>
  <c r="AM16" i="13"/>
  <c r="K17" i="13"/>
  <c r="O17" i="13"/>
  <c r="R17" i="13"/>
  <c r="X17" i="13"/>
  <c r="AB17" i="13"/>
  <c r="AF17" i="13"/>
  <c r="S16" i="13"/>
  <c r="G14" i="13"/>
  <c r="P14" i="13"/>
  <c r="U14" i="13"/>
  <c r="AC14" i="13"/>
  <c r="J8" i="11"/>
  <c r="J7" i="11"/>
  <c r="J9" i="11"/>
  <c r="J6" i="11"/>
  <c r="Q7" i="11"/>
  <c r="M8" i="11"/>
  <c r="T6" i="11"/>
  <c r="K7" i="11"/>
  <c r="U8" i="11"/>
  <c r="M9" i="11"/>
  <c r="Y7" i="11"/>
  <c r="Y9" i="11"/>
  <c r="Q8" i="11"/>
  <c r="T7" i="11"/>
  <c r="K6" i="11"/>
  <c r="K16" i="12"/>
  <c r="N14" i="12"/>
  <c r="M17" i="12"/>
  <c r="J15" i="12"/>
  <c r="O16" i="12"/>
  <c r="K17" i="12"/>
  <c r="M14" i="12"/>
  <c r="G15" i="12"/>
  <c r="G14" i="12"/>
  <c r="J14" i="12"/>
  <c r="O14" i="12"/>
  <c r="K15" i="12"/>
  <c r="L16" i="12"/>
  <c r="M16" i="12"/>
  <c r="N17" i="12"/>
  <c r="K14" i="12"/>
  <c r="L15" i="12"/>
  <c r="M15" i="12"/>
  <c r="N16" i="12"/>
  <c r="G17" i="12"/>
  <c r="J17" i="12"/>
  <c r="O17" i="12"/>
  <c r="L14" i="12"/>
  <c r="R9" i="11"/>
  <c r="R7" i="11"/>
  <c r="T9" i="11"/>
  <c r="N9" i="11"/>
  <c r="Q6" i="11"/>
  <c r="X8" i="11"/>
  <c r="S6" i="11"/>
  <c r="P6" i="11"/>
  <c r="N7" i="11"/>
  <c r="V7" i="11"/>
  <c r="S9" i="11"/>
  <c r="X7" i="11"/>
  <c r="Z6" i="11"/>
  <c r="L6" i="11"/>
  <c r="K9" i="11"/>
  <c r="M6" i="11"/>
  <c r="N6" i="11"/>
  <c r="R6" i="11"/>
  <c r="V6" i="11"/>
  <c r="Y6" i="11"/>
  <c r="S7" i="11"/>
  <c r="K8" i="11"/>
  <c r="P8" i="11"/>
  <c r="T8" i="11"/>
  <c r="Z8" i="11"/>
  <c r="L9" i="11"/>
  <c r="Q9" i="11"/>
  <c r="U9" i="11"/>
  <c r="X9" i="11"/>
  <c r="L7" i="11"/>
  <c r="U7" i="11"/>
  <c r="N8" i="11"/>
  <c r="V8" i="11"/>
  <c r="Y8" i="11"/>
  <c r="U6" i="11"/>
  <c r="M7" i="11"/>
  <c r="P9" i="11"/>
  <c r="H17" i="9"/>
  <c r="F17" i="9"/>
  <c r="E17" i="9"/>
  <c r="D17" i="9"/>
  <c r="C17" i="9"/>
  <c r="H16" i="9"/>
  <c r="F16" i="9"/>
  <c r="E16" i="9"/>
  <c r="D16" i="9"/>
  <c r="C16" i="9"/>
  <c r="H15" i="9"/>
  <c r="F15" i="9"/>
  <c r="E15" i="9"/>
  <c r="D15" i="9"/>
  <c r="C15" i="9"/>
  <c r="H14" i="9"/>
  <c r="F14" i="9"/>
  <c r="E14" i="9"/>
  <c r="D14" i="9"/>
  <c r="C14" i="9"/>
  <c r="M17" i="9"/>
  <c r="L17" i="9"/>
  <c r="K16" i="9"/>
  <c r="O13" i="9"/>
  <c r="N13" i="9"/>
  <c r="J13" i="9"/>
  <c r="O12" i="9"/>
  <c r="O11" i="9"/>
  <c r="O10" i="9"/>
  <c r="O9" i="9"/>
  <c r="N9" i="9"/>
  <c r="G9" i="9"/>
  <c r="G15" i="9" s="1"/>
  <c r="O8" i="9"/>
  <c r="O7" i="9"/>
  <c r="O6" i="9"/>
  <c r="O5" i="9"/>
  <c r="O4" i="9"/>
  <c r="P17" i="8"/>
  <c r="K17" i="8"/>
  <c r="H17" i="8"/>
  <c r="G17" i="8"/>
  <c r="F17" i="8"/>
  <c r="E17" i="8"/>
  <c r="D17" i="8"/>
  <c r="C17" i="8"/>
  <c r="P16" i="8"/>
  <c r="K16" i="8"/>
  <c r="H16" i="8"/>
  <c r="G16" i="8"/>
  <c r="F16" i="8"/>
  <c r="E16" i="8"/>
  <c r="D16" i="8"/>
  <c r="C16" i="8"/>
  <c r="P15" i="8"/>
  <c r="K15" i="8"/>
  <c r="H15" i="8"/>
  <c r="G15" i="8"/>
  <c r="F15" i="8"/>
  <c r="E15" i="8"/>
  <c r="D15" i="8"/>
  <c r="C15" i="8"/>
  <c r="P14" i="8"/>
  <c r="K14" i="8"/>
  <c r="H14" i="8"/>
  <c r="G14" i="8"/>
  <c r="F14" i="8"/>
  <c r="E14" i="8"/>
  <c r="D14" i="8"/>
  <c r="C14" i="8"/>
  <c r="S13" i="8"/>
  <c r="O13" i="8"/>
  <c r="N13" i="8"/>
  <c r="M13" i="8"/>
  <c r="I13" i="8"/>
  <c r="S12" i="8"/>
  <c r="O12" i="8"/>
  <c r="N12" i="8"/>
  <c r="M12" i="8"/>
  <c r="I12" i="8"/>
  <c r="S11" i="8"/>
  <c r="O11" i="8"/>
  <c r="N11" i="8"/>
  <c r="M11" i="8"/>
  <c r="I11" i="8"/>
  <c r="S10" i="8"/>
  <c r="Q10" i="8"/>
  <c r="O10" i="8"/>
  <c r="N10" i="8"/>
  <c r="M10" i="8"/>
  <c r="S9" i="8"/>
  <c r="Q9" i="8"/>
  <c r="O9" i="8"/>
  <c r="N9" i="8"/>
  <c r="M9" i="8"/>
  <c r="I9" i="8"/>
  <c r="S8" i="8"/>
  <c r="Q8" i="8"/>
  <c r="O8" i="8"/>
  <c r="N8" i="8"/>
  <c r="M8" i="8"/>
  <c r="I8" i="8"/>
  <c r="S7" i="8"/>
  <c r="N7" i="8"/>
  <c r="M7" i="8"/>
  <c r="I7" i="8"/>
  <c r="S6" i="8"/>
  <c r="Q6" i="8"/>
  <c r="O6" i="8"/>
  <c r="N6" i="8"/>
  <c r="M6" i="8"/>
  <c r="I6" i="8"/>
  <c r="O5" i="8"/>
  <c r="N5" i="8"/>
  <c r="M5" i="8"/>
  <c r="I5" i="8"/>
  <c r="S4" i="8"/>
  <c r="Q4" i="8"/>
  <c r="O4" i="8"/>
  <c r="N4" i="8"/>
  <c r="M4" i="8"/>
  <c r="I4" i="8"/>
  <c r="S3" i="8"/>
  <c r="O3" i="8"/>
  <c r="N3" i="8"/>
  <c r="M3" i="8"/>
  <c r="I3" i="8"/>
  <c r="S2" i="8"/>
  <c r="O2" i="8"/>
  <c r="N2" i="8"/>
  <c r="M2" i="8"/>
  <c r="I2" i="8"/>
  <c r="AC17" i="7"/>
  <c r="Z17" i="7"/>
  <c r="Y17" i="7"/>
  <c r="N17" i="7"/>
  <c r="J17" i="7"/>
  <c r="I17" i="7"/>
  <c r="G17" i="7"/>
  <c r="F17" i="7"/>
  <c r="E17" i="7"/>
  <c r="D17" i="7"/>
  <c r="AC16" i="7"/>
  <c r="Y16" i="7"/>
  <c r="T16" i="7"/>
  <c r="N16" i="7"/>
  <c r="J16" i="7"/>
  <c r="I16" i="7"/>
  <c r="G16" i="7"/>
  <c r="F16" i="7"/>
  <c r="E16" i="7"/>
  <c r="D16" i="7"/>
  <c r="AC15" i="7"/>
  <c r="Z15" i="7"/>
  <c r="Y15" i="7"/>
  <c r="N15" i="7"/>
  <c r="J15" i="7"/>
  <c r="I15" i="7"/>
  <c r="G15" i="7"/>
  <c r="F15" i="7"/>
  <c r="E15" i="7"/>
  <c r="D15" i="7"/>
  <c r="AC14" i="7"/>
  <c r="Y14" i="7"/>
  <c r="T14" i="7"/>
  <c r="N14" i="7"/>
  <c r="J14" i="7"/>
  <c r="I14" i="7"/>
  <c r="G14" i="7"/>
  <c r="F14" i="7"/>
  <c r="E14" i="7"/>
  <c r="D14" i="7"/>
  <c r="S16" i="7"/>
  <c r="Z14" i="7"/>
  <c r="T17" i="7"/>
  <c r="V15" i="7"/>
  <c r="AD14" i="7"/>
  <c r="AG13" i="7"/>
  <c r="AF13" i="7"/>
  <c r="R13" i="7"/>
  <c r="Q13" i="7"/>
  <c r="P13" i="7"/>
  <c r="M13" i="7"/>
  <c r="K13" i="7"/>
  <c r="AG12" i="7"/>
  <c r="AF12" i="7"/>
  <c r="R12" i="7"/>
  <c r="Q12" i="7"/>
  <c r="P12" i="7"/>
  <c r="M12" i="7"/>
  <c r="K12" i="7"/>
  <c r="AG11" i="7"/>
  <c r="AF11" i="7"/>
  <c r="AB11" i="7"/>
  <c r="AA11" i="7"/>
  <c r="X11" i="7"/>
  <c r="W11" i="7"/>
  <c r="R11" i="7"/>
  <c r="Q11" i="7"/>
  <c r="P11" i="7"/>
  <c r="M11" i="7"/>
  <c r="K11" i="7"/>
  <c r="H11" i="7"/>
  <c r="AG10" i="7"/>
  <c r="AF10" i="7"/>
  <c r="R10" i="7"/>
  <c r="Q10" i="7"/>
  <c r="P10" i="7"/>
  <c r="K10" i="7"/>
  <c r="AG9" i="7"/>
  <c r="AF9" i="7"/>
  <c r="R9" i="7"/>
  <c r="Q9" i="7"/>
  <c r="P9" i="7"/>
  <c r="M9" i="7"/>
  <c r="K9" i="7"/>
  <c r="AG8" i="7"/>
  <c r="AF8" i="7"/>
  <c r="AB8" i="7"/>
  <c r="AA8" i="7"/>
  <c r="X8" i="7"/>
  <c r="W8" i="7"/>
  <c r="U8" i="7"/>
  <c r="U16" i="7" s="1"/>
  <c r="R8" i="7"/>
  <c r="Q8" i="7"/>
  <c r="P8" i="7"/>
  <c r="M8" i="7"/>
  <c r="K8" i="7"/>
  <c r="AG7" i="7"/>
  <c r="Q7" i="7"/>
  <c r="P7" i="7"/>
  <c r="M7" i="7"/>
  <c r="K7" i="7"/>
  <c r="AG6" i="7"/>
  <c r="R6" i="7"/>
  <c r="Q6" i="7"/>
  <c r="P6" i="7"/>
  <c r="M6" i="7"/>
  <c r="K6" i="7"/>
  <c r="AG5" i="7"/>
  <c r="AF5" i="7"/>
  <c r="AB5" i="7"/>
  <c r="AA5" i="7"/>
  <c r="X5" i="7"/>
  <c r="W5" i="7"/>
  <c r="R5" i="7"/>
  <c r="P5" i="7"/>
  <c r="O5" i="7" s="1"/>
  <c r="M5" i="7"/>
  <c r="K5" i="7"/>
  <c r="H5" i="7"/>
  <c r="AG4" i="7"/>
  <c r="AF4" i="7"/>
  <c r="R4" i="7"/>
  <c r="Q4" i="7"/>
  <c r="P4" i="7"/>
  <c r="M4" i="7"/>
  <c r="K4" i="7"/>
  <c r="AA3" i="7"/>
  <c r="X3" i="7"/>
  <c r="R3" i="7"/>
  <c r="Q3" i="7"/>
  <c r="P3" i="7"/>
  <c r="M3" i="7"/>
  <c r="K3" i="7"/>
  <c r="H3" i="7"/>
  <c r="AG2" i="7"/>
  <c r="R2" i="7"/>
  <c r="Q2" i="7"/>
  <c r="P2" i="7"/>
  <c r="M2" i="7"/>
  <c r="K2" i="7"/>
  <c r="C6" i="5"/>
  <c r="C7" i="5"/>
  <c r="C8" i="5"/>
  <c r="C9" i="5"/>
  <c r="AB18" i="6"/>
  <c r="X18" i="6"/>
  <c r="M18" i="6"/>
  <c r="I18" i="6"/>
  <c r="H18" i="6"/>
  <c r="F18" i="6"/>
  <c r="E18" i="6"/>
  <c r="D18" i="6"/>
  <c r="C18" i="6"/>
  <c r="AB17" i="6"/>
  <c r="X17" i="6"/>
  <c r="M17" i="6"/>
  <c r="I17" i="6"/>
  <c r="H17" i="6"/>
  <c r="F17" i="6"/>
  <c r="E17" i="6"/>
  <c r="D17" i="6"/>
  <c r="C17" i="6"/>
  <c r="AB16" i="6"/>
  <c r="X16" i="6"/>
  <c r="M16" i="6"/>
  <c r="I16" i="6"/>
  <c r="H16" i="6"/>
  <c r="F16" i="6"/>
  <c r="E16" i="6"/>
  <c r="D16" i="6"/>
  <c r="C16" i="6"/>
  <c r="AB15" i="6"/>
  <c r="X15" i="6"/>
  <c r="M15" i="6"/>
  <c r="I15" i="6"/>
  <c r="H15" i="6"/>
  <c r="F15" i="6"/>
  <c r="E15" i="6"/>
  <c r="D15" i="6"/>
  <c r="C15" i="6"/>
  <c r="Y18" i="6"/>
  <c r="S17" i="6"/>
  <c r="K16" i="6"/>
  <c r="AE14" i="6"/>
  <c r="Q14" i="6"/>
  <c r="P14" i="6"/>
  <c r="O14" i="6"/>
  <c r="G14" i="6"/>
  <c r="AF13" i="6"/>
  <c r="AE13" i="6"/>
  <c r="Q13" i="6"/>
  <c r="P13" i="6"/>
  <c r="O13" i="6"/>
  <c r="G13" i="6"/>
  <c r="AF12" i="6"/>
  <c r="AE12" i="6"/>
  <c r="AA12" i="6"/>
  <c r="Z12" i="6"/>
  <c r="W12" i="6"/>
  <c r="V12" i="6"/>
  <c r="Q12" i="6"/>
  <c r="P12" i="6"/>
  <c r="O12" i="6"/>
  <c r="L12" i="6"/>
  <c r="J12" i="6"/>
  <c r="G12" i="6"/>
  <c r="AE11" i="6"/>
  <c r="AA11" i="6"/>
  <c r="W11" i="6"/>
  <c r="Q11" i="6"/>
  <c r="O11" i="6"/>
  <c r="N11" i="6" s="1"/>
  <c r="L11" i="6"/>
  <c r="J11" i="6"/>
  <c r="G11" i="6"/>
  <c r="AF9" i="6"/>
  <c r="AE9" i="6"/>
  <c r="Q9" i="6"/>
  <c r="P9" i="6"/>
  <c r="O9" i="6"/>
  <c r="L9" i="6"/>
  <c r="J9" i="6"/>
  <c r="AF8" i="6"/>
  <c r="AE8" i="6"/>
  <c r="AA8" i="6"/>
  <c r="Z8" i="6"/>
  <c r="W8" i="6"/>
  <c r="V8" i="6"/>
  <c r="T8" i="6"/>
  <c r="T15" i="6" s="1"/>
  <c r="Q8" i="6"/>
  <c r="P8" i="6"/>
  <c r="O8" i="6"/>
  <c r="L8" i="6"/>
  <c r="J8" i="6"/>
  <c r="G8" i="6"/>
  <c r="AF7" i="6"/>
  <c r="P7" i="6"/>
  <c r="O7" i="6"/>
  <c r="L7" i="6"/>
  <c r="J7" i="6"/>
  <c r="AF6" i="6"/>
  <c r="Q6" i="6"/>
  <c r="P6" i="6"/>
  <c r="O6" i="6"/>
  <c r="L6" i="6"/>
  <c r="J6" i="6"/>
  <c r="AF5" i="6"/>
  <c r="AE5" i="6"/>
  <c r="AA5" i="6"/>
  <c r="Z5" i="6"/>
  <c r="W5" i="6"/>
  <c r="V5" i="6"/>
  <c r="Q5" i="6"/>
  <c r="P5" i="6"/>
  <c r="O5" i="6"/>
  <c r="L5" i="6"/>
  <c r="J5" i="6"/>
  <c r="G5" i="6"/>
  <c r="AF4" i="6"/>
  <c r="AE4" i="6"/>
  <c r="Q4" i="6"/>
  <c r="P4" i="6"/>
  <c r="O4" i="6"/>
  <c r="L4" i="6"/>
  <c r="J4" i="6"/>
  <c r="AF3" i="6"/>
  <c r="AA3" i="6"/>
  <c r="Z3" i="6"/>
  <c r="W3" i="6"/>
  <c r="V3" i="6"/>
  <c r="Q3" i="6"/>
  <c r="P3" i="6"/>
  <c r="O3" i="6"/>
  <c r="L3" i="6"/>
  <c r="J3" i="6"/>
  <c r="G3" i="6"/>
  <c r="AF2" i="6"/>
  <c r="Q2" i="6"/>
  <c r="P2" i="6"/>
  <c r="O2" i="6"/>
  <c r="L2" i="6"/>
  <c r="J2" i="6"/>
  <c r="N4" i="6" l="1"/>
  <c r="O10" i="7"/>
  <c r="O13" i="7"/>
  <c r="N13" i="6"/>
  <c r="Q3" i="13"/>
  <c r="M15" i="13"/>
  <c r="M17" i="13"/>
  <c r="M14" i="13"/>
  <c r="M16" i="13"/>
  <c r="N2" i="6"/>
  <c r="N6" i="6"/>
  <c r="O3" i="7"/>
  <c r="O8" i="7"/>
  <c r="O11" i="7"/>
  <c r="N3" i="6"/>
  <c r="O4" i="7"/>
  <c r="O12" i="7"/>
  <c r="N8" i="6"/>
  <c r="N12" i="6"/>
  <c r="N5" i="6"/>
  <c r="N7" i="6"/>
  <c r="J15" i="9"/>
  <c r="I13" i="9"/>
  <c r="N14" i="9"/>
  <c r="O15" i="9"/>
  <c r="O17" i="9"/>
  <c r="L13" i="8"/>
  <c r="L5" i="8"/>
  <c r="L9" i="8"/>
  <c r="L11" i="8"/>
  <c r="L10" i="8"/>
  <c r="L3" i="8"/>
  <c r="L12" i="8"/>
  <c r="L4" i="8"/>
  <c r="L7" i="8"/>
  <c r="L8" i="8"/>
  <c r="L2" i="8"/>
  <c r="L6" i="8"/>
  <c r="O17" i="8"/>
  <c r="S15" i="8"/>
  <c r="I15" i="8"/>
  <c r="I17" i="8"/>
  <c r="I14" i="8"/>
  <c r="I16" i="8"/>
  <c r="M15" i="8"/>
  <c r="N14" i="8"/>
  <c r="J17" i="9"/>
  <c r="L15" i="9"/>
  <c r="N16" i="9"/>
  <c r="K14" i="9"/>
  <c r="G14" i="9"/>
  <c r="J14" i="9"/>
  <c r="O14" i="9"/>
  <c r="K15" i="9"/>
  <c r="L16" i="9"/>
  <c r="M16" i="9"/>
  <c r="N17" i="9"/>
  <c r="M15" i="9"/>
  <c r="G17" i="9"/>
  <c r="L14" i="9"/>
  <c r="M14" i="9"/>
  <c r="N15" i="9"/>
  <c r="G16" i="9"/>
  <c r="J16" i="9"/>
  <c r="O16" i="9"/>
  <c r="K17" i="9"/>
  <c r="O7" i="7"/>
  <c r="O9" i="7"/>
  <c r="O2" i="7"/>
  <c r="O6" i="7"/>
  <c r="K14" i="7"/>
  <c r="U15" i="7"/>
  <c r="K15" i="7"/>
  <c r="K17" i="7"/>
  <c r="H14" i="7"/>
  <c r="K16" i="7"/>
  <c r="AF16" i="7"/>
  <c r="M14" i="7"/>
  <c r="AB17" i="7"/>
  <c r="X15" i="7"/>
  <c r="P16" i="7"/>
  <c r="Q14" i="7"/>
  <c r="Q17" i="7"/>
  <c r="R14" i="7"/>
  <c r="W14" i="7"/>
  <c r="H15" i="7"/>
  <c r="AG16" i="7"/>
  <c r="AA15" i="7"/>
  <c r="N16" i="8"/>
  <c r="O15" i="8"/>
  <c r="J15" i="8"/>
  <c r="R14" i="8"/>
  <c r="Q17" i="8"/>
  <c r="J14" i="8"/>
  <c r="M14" i="8"/>
  <c r="S14" i="8"/>
  <c r="N15" i="8"/>
  <c r="O16" i="8"/>
  <c r="Q16" i="8"/>
  <c r="R17" i="8"/>
  <c r="R16" i="8"/>
  <c r="J17" i="8"/>
  <c r="M17" i="8"/>
  <c r="S17" i="8"/>
  <c r="O14" i="8"/>
  <c r="Q14" i="8"/>
  <c r="R15" i="8"/>
  <c r="J16" i="8"/>
  <c r="M16" i="8"/>
  <c r="S16" i="8"/>
  <c r="N17" i="8"/>
  <c r="Q15" i="8"/>
  <c r="N9" i="6"/>
  <c r="N14" i="6"/>
  <c r="J15" i="6"/>
  <c r="J18" i="6"/>
  <c r="J17" i="6"/>
  <c r="J16" i="6"/>
  <c r="L17" i="6"/>
  <c r="P17" i="6"/>
  <c r="AA17" i="6"/>
  <c r="G18" i="6"/>
  <c r="Q18" i="6"/>
  <c r="M17" i="7"/>
  <c r="L16" i="7"/>
  <c r="AE15" i="7"/>
  <c r="W17" i="7"/>
  <c r="AA16" i="7"/>
  <c r="U14" i="7"/>
  <c r="V14" i="7"/>
  <c r="X14" i="7"/>
  <c r="AA14" i="7"/>
  <c r="AE14" i="7"/>
  <c r="L15" i="7"/>
  <c r="P15" i="7"/>
  <c r="S15" i="7"/>
  <c r="AF15" i="7"/>
  <c r="AG15" i="7"/>
  <c r="M16" i="7"/>
  <c r="Q16" i="7"/>
  <c r="W16" i="7"/>
  <c r="AB16" i="7"/>
  <c r="H17" i="7"/>
  <c r="R17" i="7"/>
  <c r="AD17" i="7"/>
  <c r="L14" i="7"/>
  <c r="P14" i="7"/>
  <c r="S14" i="7"/>
  <c r="AF14" i="7"/>
  <c r="AG14" i="7"/>
  <c r="M15" i="7"/>
  <c r="Q15" i="7"/>
  <c r="T15" i="7"/>
  <c r="W15" i="7"/>
  <c r="AB15" i="7"/>
  <c r="H16" i="7"/>
  <c r="R16" i="7"/>
  <c r="Z16" i="7"/>
  <c r="AD16" i="7"/>
  <c r="U17" i="7"/>
  <c r="V17" i="7"/>
  <c r="X17" i="7"/>
  <c r="AA17" i="7"/>
  <c r="AE17" i="7"/>
  <c r="AB14" i="7"/>
  <c r="R15" i="7"/>
  <c r="AD15" i="7"/>
  <c r="V16" i="7"/>
  <c r="X16" i="7"/>
  <c r="AE16" i="7"/>
  <c r="L17" i="7"/>
  <c r="P17" i="7"/>
  <c r="S17" i="7"/>
  <c r="AF17" i="7"/>
  <c r="AG17" i="7"/>
  <c r="AF16" i="6"/>
  <c r="W15" i="6"/>
  <c r="AE16" i="6"/>
  <c r="O16" i="6"/>
  <c r="Z15" i="6"/>
  <c r="V17" i="6"/>
  <c r="AC18" i="6"/>
  <c r="U15" i="6"/>
  <c r="AD15" i="6"/>
  <c r="R16" i="6"/>
  <c r="K15" i="6"/>
  <c r="O15" i="6"/>
  <c r="R15" i="6"/>
  <c r="AE15" i="6"/>
  <c r="AF15" i="6"/>
  <c r="L16" i="6"/>
  <c r="P16" i="6"/>
  <c r="S16" i="6"/>
  <c r="V16" i="6"/>
  <c r="AA16" i="6"/>
  <c r="G17" i="6"/>
  <c r="Q17" i="6"/>
  <c r="Y17" i="6"/>
  <c r="AC17" i="6"/>
  <c r="T18" i="6"/>
  <c r="U18" i="6"/>
  <c r="W18" i="6"/>
  <c r="Z18" i="6"/>
  <c r="AD18" i="6"/>
  <c r="L15" i="6"/>
  <c r="P15" i="6"/>
  <c r="S15" i="6"/>
  <c r="V15" i="6"/>
  <c r="AA15" i="6"/>
  <c r="G16" i="6"/>
  <c r="Q16" i="6"/>
  <c r="Y16" i="6"/>
  <c r="AC16" i="6"/>
  <c r="T17" i="6"/>
  <c r="U17" i="6"/>
  <c r="W17" i="6"/>
  <c r="Z17" i="6"/>
  <c r="AD17" i="6"/>
  <c r="K18" i="6"/>
  <c r="O18" i="6"/>
  <c r="R18" i="6"/>
  <c r="AE18" i="6"/>
  <c r="AF18" i="6"/>
  <c r="G15" i="6"/>
  <c r="Q15" i="6"/>
  <c r="Y15" i="6"/>
  <c r="AC15" i="6"/>
  <c r="T16" i="6"/>
  <c r="U16" i="6"/>
  <c r="W16" i="6"/>
  <c r="Z16" i="6"/>
  <c r="AD16" i="6"/>
  <c r="K17" i="6"/>
  <c r="O17" i="6"/>
  <c r="R17" i="6"/>
  <c r="AE17" i="6"/>
  <c r="AF17" i="6"/>
  <c r="L18" i="6"/>
  <c r="P18" i="6"/>
  <c r="S18" i="6"/>
  <c r="V18" i="6"/>
  <c r="AA18" i="6"/>
  <c r="I3" i="4"/>
  <c r="I4" i="4"/>
  <c r="I5" i="4"/>
  <c r="I6" i="4"/>
  <c r="I7" i="4"/>
  <c r="I9" i="4"/>
  <c r="I10" i="4"/>
  <c r="I11" i="4"/>
  <c r="I12" i="4"/>
  <c r="I13" i="4"/>
  <c r="I2" i="4"/>
  <c r="Q9" i="5"/>
  <c r="L9" i="5"/>
  <c r="I9" i="5"/>
  <c r="H9" i="5"/>
  <c r="G9" i="5"/>
  <c r="F9" i="5"/>
  <c r="E9" i="5"/>
  <c r="D9" i="5"/>
  <c r="Q8" i="5"/>
  <c r="L8" i="5"/>
  <c r="I8" i="5"/>
  <c r="H8" i="5"/>
  <c r="G8" i="5"/>
  <c r="F8" i="5"/>
  <c r="E8" i="5"/>
  <c r="D8" i="5"/>
  <c r="Q7" i="5"/>
  <c r="L7" i="5"/>
  <c r="I7" i="5"/>
  <c r="H7" i="5"/>
  <c r="G7" i="5"/>
  <c r="F7" i="5"/>
  <c r="E7" i="5"/>
  <c r="D7" i="5"/>
  <c r="Q6" i="5"/>
  <c r="L6" i="5"/>
  <c r="I6" i="5"/>
  <c r="H6" i="5"/>
  <c r="G6" i="5"/>
  <c r="F6" i="5"/>
  <c r="E6" i="5"/>
  <c r="D6" i="5"/>
  <c r="S7" i="5"/>
  <c r="T5" i="5"/>
  <c r="R5" i="5"/>
  <c r="P5" i="5"/>
  <c r="O5" i="5"/>
  <c r="N5" i="5"/>
  <c r="K5" i="5"/>
  <c r="J5" i="5"/>
  <c r="T4" i="5"/>
  <c r="R4" i="5"/>
  <c r="P4" i="5"/>
  <c r="O4" i="5"/>
  <c r="N4" i="5"/>
  <c r="J4" i="5"/>
  <c r="T3" i="5"/>
  <c r="P3" i="5"/>
  <c r="O3" i="5"/>
  <c r="N3" i="5"/>
  <c r="J3" i="5"/>
  <c r="P2" i="5"/>
  <c r="O2" i="5"/>
  <c r="N2" i="5"/>
  <c r="J2" i="5"/>
  <c r="M17" i="4"/>
  <c r="H17" i="4"/>
  <c r="F17" i="4"/>
  <c r="E17" i="4"/>
  <c r="D17" i="4"/>
  <c r="C17" i="4"/>
  <c r="M16" i="4"/>
  <c r="H16" i="4"/>
  <c r="F16" i="4"/>
  <c r="E16" i="4"/>
  <c r="D16" i="4"/>
  <c r="C16" i="4"/>
  <c r="M15" i="4"/>
  <c r="H15" i="4"/>
  <c r="F15" i="4"/>
  <c r="E15" i="4"/>
  <c r="D15" i="4"/>
  <c r="C15" i="4"/>
  <c r="M14" i="4"/>
  <c r="H14" i="4"/>
  <c r="F14" i="4"/>
  <c r="E14" i="4"/>
  <c r="D14" i="4"/>
  <c r="C14" i="4"/>
  <c r="G9" i="4"/>
  <c r="Q8" i="4"/>
  <c r="P8" i="4"/>
  <c r="J8" i="4"/>
  <c r="I8" i="4" s="1"/>
  <c r="G8" i="4"/>
  <c r="G4" i="4"/>
  <c r="G3" i="4"/>
  <c r="O16" i="7" l="1"/>
  <c r="N17" i="6"/>
  <c r="N18" i="6"/>
  <c r="Q16" i="13"/>
  <c r="Q15" i="13"/>
  <c r="Q14" i="13"/>
  <c r="Q17" i="13"/>
  <c r="N16" i="6"/>
  <c r="O17" i="7"/>
  <c r="M5" i="5"/>
  <c r="N15" i="6"/>
  <c r="O14" i="7"/>
  <c r="I17" i="9"/>
  <c r="I15" i="9"/>
  <c r="I16" i="9"/>
  <c r="I14" i="9"/>
  <c r="L16" i="8"/>
  <c r="L14" i="8"/>
  <c r="L15" i="8"/>
  <c r="L17" i="8"/>
  <c r="O15" i="7"/>
  <c r="M2" i="5"/>
  <c r="M3" i="5"/>
  <c r="M4" i="5"/>
  <c r="J9" i="5"/>
  <c r="J6" i="5"/>
  <c r="J8" i="5"/>
  <c r="J7" i="5"/>
  <c r="K6" i="5"/>
  <c r="I14" i="4"/>
  <c r="I17" i="4"/>
  <c r="I16" i="4"/>
  <c r="I15" i="4"/>
  <c r="O8" i="5"/>
  <c r="R9" i="5"/>
  <c r="P9" i="5"/>
  <c r="T9" i="5"/>
  <c r="S8" i="5"/>
  <c r="O15" i="4"/>
  <c r="G17" i="4"/>
  <c r="K16" i="4"/>
  <c r="N17" i="4"/>
  <c r="Q17" i="4"/>
  <c r="P17" i="4"/>
  <c r="O16" i="4"/>
  <c r="L17" i="4"/>
  <c r="Q16" i="4"/>
  <c r="P16" i="4"/>
  <c r="T6" i="5"/>
  <c r="K9" i="5"/>
  <c r="N9" i="5"/>
  <c r="O6" i="5"/>
  <c r="P6" i="5"/>
  <c r="S6" i="5"/>
  <c r="K7" i="5"/>
  <c r="N7" i="5"/>
  <c r="T7" i="5"/>
  <c r="P8" i="5"/>
  <c r="R8" i="5"/>
  <c r="S9" i="5"/>
  <c r="O7" i="5"/>
  <c r="P7" i="5"/>
  <c r="R7" i="5"/>
  <c r="K8" i="5"/>
  <c r="N8" i="5"/>
  <c r="T8" i="5"/>
  <c r="O9" i="5"/>
  <c r="N6" i="5"/>
  <c r="R6" i="5"/>
  <c r="G14" i="4"/>
  <c r="J14" i="4"/>
  <c r="P14" i="4"/>
  <c r="Q14" i="4"/>
  <c r="K15" i="4"/>
  <c r="N15" i="4"/>
  <c r="G16" i="4"/>
  <c r="J16" i="4"/>
  <c r="K17" i="4"/>
  <c r="O14" i="4"/>
  <c r="G15" i="4"/>
  <c r="J15" i="4"/>
  <c r="P15" i="4"/>
  <c r="Q15" i="4"/>
  <c r="L16" i="4"/>
  <c r="N16" i="4"/>
  <c r="O17" i="4"/>
  <c r="J17" i="4"/>
  <c r="K14" i="4"/>
  <c r="L15" i="4"/>
  <c r="L14" i="4"/>
  <c r="N14" i="4"/>
  <c r="M9" i="5" l="1"/>
  <c r="M7" i="5"/>
  <c r="M6" i="5"/>
  <c r="M8" i="5"/>
</calcChain>
</file>

<file path=xl/sharedStrings.xml><?xml version="1.0" encoding="utf-8"?>
<sst xmlns="http://schemas.openxmlformats.org/spreadsheetml/2006/main" count="3504" uniqueCount="129">
  <si>
    <t>Hardness</t>
  </si>
  <si>
    <t>P16</t>
  </si>
  <si>
    <t>P32</t>
  </si>
  <si>
    <t>P33</t>
  </si>
  <si>
    <t>P38</t>
  </si>
  <si>
    <t>P40</t>
  </si>
  <si>
    <t>P41</t>
  </si>
  <si>
    <t>P43</t>
  </si>
  <si>
    <t>CENTRALS</t>
  </si>
  <si>
    <t>EASTSUMP</t>
  </si>
  <si>
    <t>HDL CREEK D-S DIFSER</t>
  </si>
  <si>
    <t>LT #1</t>
  </si>
  <si>
    <t>RECLAIM</t>
  </si>
  <si>
    <t>SLUDGE</t>
  </si>
  <si>
    <t>W1</t>
  </si>
  <si>
    <t>W5_WELL</t>
  </si>
  <si>
    <t>W7_WELL</t>
  </si>
  <si>
    <t>CAHILL-2</t>
  </si>
  <si>
    <t>CAHILL-4</t>
  </si>
  <si>
    <t>NPM CREEK</t>
  </si>
  <si>
    <t>REDTOP</t>
  </si>
  <si>
    <t>SUNSET</t>
  </si>
  <si>
    <t>BARGE PUMP</t>
  </si>
  <si>
    <t>CAHILL-1</t>
  </si>
  <si>
    <t>CAHILL-3</t>
  </si>
  <si>
    <t>CPFLOOR</t>
  </si>
  <si>
    <t>HDL CREEK U-S DIFSER</t>
  </si>
  <si>
    <t>RT-WEST</t>
  </si>
  <si>
    <t>W11_WELL</t>
  </si>
  <si>
    <t>W3_WELL</t>
  </si>
  <si>
    <t>W4_WELL</t>
  </si>
  <si>
    <t>W6_WELL</t>
  </si>
  <si>
    <t>W8_WELL</t>
  </si>
  <si>
    <t>BAEWATER</t>
  </si>
  <si>
    <t>Frozen</t>
  </si>
  <si>
    <t>D1</t>
  </si>
  <si>
    <t>P17</t>
  </si>
  <si>
    <t>P34</t>
  </si>
  <si>
    <t>P44</t>
  </si>
  <si>
    <t>Dry</t>
  </si>
  <si>
    <t>RT-EAST</t>
  </si>
  <si>
    <t>P35</t>
  </si>
  <si>
    <t>P36</t>
  </si>
  <si>
    <t>P37</t>
  </si>
  <si>
    <t>DRY</t>
  </si>
  <si>
    <t>ac</t>
  </si>
  <si>
    <t>Date</t>
  </si>
  <si>
    <t>Flow (m3/day)</t>
  </si>
  <si>
    <t>Dilution Ratio</t>
  </si>
  <si>
    <t>Phreatic (m)</t>
  </si>
  <si>
    <t>Temperature (◦C)</t>
  </si>
  <si>
    <t>Conductivity (umhos/cm)</t>
  </si>
  <si>
    <t>pH</t>
  </si>
  <si>
    <t>TSS (mg/L)</t>
  </si>
  <si>
    <t>TDS (mg/L)</t>
  </si>
  <si>
    <t>Turbidity (NTU)</t>
  </si>
  <si>
    <t>NH3 (mg/L)</t>
  </si>
  <si>
    <t>Nitrate-N (mg/L)</t>
  </si>
  <si>
    <t>Nitrite-N (mg/L)</t>
  </si>
  <si>
    <t>D-SO4 (mg/L)</t>
  </si>
  <si>
    <t>CN (WAD) (mg/L)</t>
  </si>
  <si>
    <t>T-CN (mg/L)</t>
  </si>
  <si>
    <t>SCN (mg/L)</t>
  </si>
  <si>
    <t>CN (SAD + SCN) (mg/L)</t>
  </si>
  <si>
    <t>T-Al (mg/L)</t>
  </si>
  <si>
    <t>T-As (mg/L)</t>
  </si>
  <si>
    <t>T-B (mg/L)</t>
  </si>
  <si>
    <t>T-Cd (mg/L)</t>
  </si>
  <si>
    <t>T-Cr (mg/L)</t>
  </si>
  <si>
    <t>T-Co (mg/L)</t>
  </si>
  <si>
    <t>T-Cu (mg/L)</t>
  </si>
  <si>
    <t>T-Fe (mg/L)</t>
  </si>
  <si>
    <t>T-Pb (mg/L)</t>
  </si>
  <si>
    <t>T-Mn (mg/L)</t>
  </si>
  <si>
    <t>T-Hg (mg/L)</t>
  </si>
  <si>
    <t>T-Mo (mg/L)</t>
  </si>
  <si>
    <t>T-Ni (mg/L)</t>
  </si>
  <si>
    <t>T-Se (mg/L)</t>
  </si>
  <si>
    <t>T-Ag (mg/L)</t>
  </si>
  <si>
    <t>T-U (mg/L)</t>
  </si>
  <si>
    <t>T-Zn (mg/L)</t>
  </si>
  <si>
    <t>D-Al (mg/L)</t>
  </si>
  <si>
    <t>D-As (mg/L)</t>
  </si>
  <si>
    <t>D-Cd (mg/L)</t>
  </si>
  <si>
    <t>D-Cr (mg/L)</t>
  </si>
  <si>
    <t>D-Co (mg/L)</t>
  </si>
  <si>
    <t>D-Cu (mg/L)</t>
  </si>
  <si>
    <t>D-Fe (mg/L)</t>
  </si>
  <si>
    <t>D-Pb (mg/L)</t>
  </si>
  <si>
    <t>D-Hg (mg/L)</t>
  </si>
  <si>
    <t>D-Mo (mg/L)</t>
  </si>
  <si>
    <t>D-Ni (mg/L)</t>
  </si>
  <si>
    <t>D-Se (mg/L)</t>
  </si>
  <si>
    <t>D-Ag (mg/L)</t>
  </si>
  <si>
    <t>D-Na (mg/L)</t>
  </si>
  <si>
    <t>D-Zn (mg/L)</t>
  </si>
  <si>
    <t>-</t>
  </si>
  <si>
    <t>UPPER-SS</t>
  </si>
  <si>
    <t>W1000</t>
  </si>
  <si>
    <t>WELL 1100</t>
  </si>
  <si>
    <t>Minimum</t>
  </si>
  <si>
    <t>Maximum</t>
  </si>
  <si>
    <t>Average</t>
  </si>
  <si>
    <t>Std Dev</t>
  </si>
  <si>
    <r>
      <t>Nitrate+Nitrite -N (mg/L)</t>
    </r>
    <r>
      <rPr>
        <vertAlign val="superscript"/>
        <sz val="12"/>
        <color indexed="8"/>
        <rFont val="Calibri"/>
        <family val="2"/>
        <scheme val="minor"/>
      </rPr>
      <t>1</t>
    </r>
  </si>
  <si>
    <r>
      <t>CN (SAD) (mg/L)</t>
    </r>
    <r>
      <rPr>
        <vertAlign val="superscript"/>
        <sz val="12"/>
        <color indexed="8"/>
        <rFont val="Calibri"/>
        <family val="2"/>
        <scheme val="minor"/>
      </rPr>
      <t>2</t>
    </r>
  </si>
  <si>
    <t>Total</t>
  </si>
  <si>
    <t>Chlorophyll-A (ug/L)</t>
  </si>
  <si>
    <t>“-“ indicate not analyzed.</t>
  </si>
  <si>
    <t>W3, W4, W6, W8, and W11_WELLs are not pumping wells, no flow rates measured.</t>
  </si>
  <si>
    <t>No discharge from CPFLOOR, surface water sample only.</t>
  </si>
  <si>
    <t xml:space="preserve">RT-EAST flows irregularly throughout the year and requires a wier to measure flow.  </t>
  </si>
  <si>
    <t xml:space="preserve">Notes: </t>
  </si>
  <si>
    <t>Notes:</t>
  </si>
  <si>
    <r>
      <rPr>
        <b/>
        <sz val="10"/>
        <color theme="1"/>
        <rFont val="Calibri"/>
        <family val="2"/>
        <scheme val="minor"/>
      </rPr>
      <t>Bold</t>
    </r>
    <r>
      <rPr>
        <sz val="10"/>
        <color theme="1"/>
        <rFont val="Calibri"/>
        <family val="2"/>
        <scheme val="minor"/>
      </rPr>
      <t xml:space="preserve"> and </t>
    </r>
    <r>
      <rPr>
        <i/>
        <sz val="10"/>
        <color theme="1"/>
        <rFont val="Calibri"/>
        <family val="2"/>
        <scheme val="minor"/>
      </rPr>
      <t>italic</t>
    </r>
    <r>
      <rPr>
        <sz val="10"/>
        <color theme="1"/>
        <rFont val="Calibri"/>
        <family val="2"/>
        <scheme val="minor"/>
      </rPr>
      <t xml:space="preserve"> indicates result half detection (MDL) limit.</t>
    </r>
  </si>
  <si>
    <r>
      <rPr>
        <vertAlign val="superscript"/>
        <sz val="10"/>
        <color theme="1"/>
        <rFont val="Calibri"/>
        <family val="2"/>
        <scheme val="minor"/>
      </rPr>
      <t>2.</t>
    </r>
    <r>
      <rPr>
        <sz val="10"/>
        <color theme="1"/>
        <rFont val="Calibri"/>
        <family val="2"/>
        <scheme val="minor"/>
      </rPr>
      <t xml:space="preserve"> CN SAD values are calculated by the difference between T-CN and WAD concentrations.  Where one or both values are less than the MDL, the bolded value is considered to be zero.</t>
    </r>
  </si>
  <si>
    <r>
      <rPr>
        <vertAlign val="superscript"/>
        <sz val="10"/>
        <color theme="1"/>
        <rFont val="Calibri"/>
        <family val="2"/>
        <scheme val="minor"/>
      </rPr>
      <t>1.</t>
    </r>
    <r>
      <rPr>
        <sz val="10"/>
        <color theme="1"/>
        <rFont val="Calibri"/>
        <family val="2"/>
        <scheme val="minor"/>
      </rPr>
      <t xml:space="preserve"> N+N Values are calculated by the sum of nitrite and nitrate concentrations.  Where one or both values are less than the MDL, the bolded value is considered to be zero.</t>
    </r>
  </si>
  <si>
    <t>Statistical calculations based on shown data only. Full data set may yeild different results.  Where value is &lt;MDL, half the value is shown and used in calculations</t>
  </si>
  <si>
    <t>No flow</t>
  </si>
  <si>
    <t>Q1</t>
  </si>
  <si>
    <t>No discharge between Jan 1 2017 and May 8 2017</t>
  </si>
  <si>
    <t>No discharge between Nov 1 2017 and Dec 31 2017</t>
  </si>
  <si>
    <t>Phreatic (ft)</t>
  </si>
  <si>
    <r>
      <t>Flow (m</t>
    </r>
    <r>
      <rPr>
        <vertAlign val="superscript"/>
        <sz val="12"/>
        <rFont val="Calibri"/>
        <family val="2"/>
        <scheme val="minor"/>
      </rPr>
      <t>3</t>
    </r>
    <r>
      <rPr>
        <sz val="12"/>
        <rFont val="Calibri"/>
        <family val="2"/>
        <scheme val="minor"/>
      </rPr>
      <t>/day)</t>
    </r>
  </si>
  <si>
    <t>Discharge to Hedley Creek (LT #1)</t>
  </si>
  <si>
    <t xml:space="preserve">Statistical calculations based on shown data only. Full data set may yeild different results.  </t>
  </si>
  <si>
    <t>&lt;1</t>
  </si>
  <si>
    <t>Offline</t>
  </si>
  <si>
    <t>Broken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</si>
</sst>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[$-409]d/mmm/yy;@"/>
    <numFmt numFmtId="165" formatCode="#,##0.0_);[Red]\(#,##0.0\)"/>
    <numFmt numFmtId="166" formatCode="#,##0.000_);[Red]\(#,##0.000\)"/>
    <numFmt numFmtId="167" formatCode="#,##0.0000_);[Red]\(#,##0.0000\)"/>
    <numFmt numFmtId="168" formatCode="#,##0.000000_);[Red]\(#,##0.000000\)"/>
    <numFmt numFmtId="169" formatCode="#,##0.0000000_);[Red]\(#,##0.0000000\)"/>
    <numFmt numFmtId="170" formatCode="#,##0.00000_);[Red]\(#,##0.00000\)"/>
    <numFmt numFmtId="171" formatCode="#,##0.00000000_);[Red]\(#,##0.00000000\)"/>
    <numFmt numFmtId="172" formatCode="0.0000"/>
    <numFmt numFmtId="173" formatCode="0.000"/>
    <numFmt numFmtId="174" formatCode="0.0"/>
    <numFmt numFmtId="175" formatCode="#,##0.0"/>
    <numFmt numFmtId="176" formatCode="0.000000"/>
    <numFmt numFmtId="177" formatCode="0.00000"/>
    <numFmt numFmtId="180" formatCode="#,##0.0_);\(#,##0.0\)"/>
  </numFmts>
  <fonts count="22">
    <font>
      <sz val="10"/>
      <name val="Tahoma"/>
    </font>
    <font>
      <sz val="11"/>
      <color theme="1"/>
      <name val="Calibri"/>
      <family val="2"/>
      <scheme val="minor"/>
    </font>
    <font>
      <sz val="10"/>
      <name val="Tahoma"/>
      <family val="2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vertAlign val="superscript"/>
      <sz val="12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sz val="10"/>
      <name val="Tahoma"/>
      <family val="2"/>
    </font>
    <font>
      <vertAlign val="superscript"/>
      <sz val="1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theme="1"/>
      <name val="Lucida Sans"/>
      <family val="2"/>
    </font>
    <font>
      <sz val="14"/>
      <color indexed="8"/>
      <name val="SWISS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/>
      <bottom/>
      <diagonal/>
    </border>
  </borders>
  <cellStyleXfs count="11">
    <xf numFmtId="0" fontId="0" fillId="0" borderId="0"/>
    <xf numFmtId="0" fontId="2" fillId="0" borderId="0" applyNumberFormat="0" applyBorder="0" applyAlignment="0"/>
    <xf numFmtId="0" fontId="2" fillId="0" borderId="0" applyBorder="0"/>
    <xf numFmtId="0" fontId="2" fillId="0" borderId="0" applyBorder="0"/>
    <xf numFmtId="0" fontId="5" fillId="0" borderId="0"/>
    <xf numFmtId="0" fontId="16" fillId="0" borderId="0"/>
    <xf numFmtId="0" fontId="16" fillId="0" borderId="0" applyNumberFormat="0" applyBorder="0" applyAlignment="0"/>
    <xf numFmtId="0" fontId="16" fillId="0" borderId="0" applyBorder="0"/>
    <xf numFmtId="0" fontId="16" fillId="0" borderId="0" applyBorder="0"/>
    <xf numFmtId="0" fontId="1" fillId="0" borderId="0"/>
    <xf numFmtId="0" fontId="19" fillId="0" borderId="0"/>
  </cellStyleXfs>
  <cellXfs count="152">
    <xf numFmtId="0" fontId="0" fillId="0" borderId="0" xfId="0"/>
    <xf numFmtId="40" fontId="3" fillId="0" borderId="1" xfId="0" applyNumberFormat="1" applyFont="1" applyFill="1" applyBorder="1" applyAlignment="1">
      <alignment horizontal="center" textRotation="90"/>
    </xf>
    <xf numFmtId="164" fontId="4" fillId="3" borderId="1" xfId="0" applyNumberFormat="1" applyFont="1" applyFill="1" applyBorder="1" applyAlignment="1">
      <alignment horizontal="center" textRotation="90"/>
    </xf>
    <xf numFmtId="38" fontId="4" fillId="3" borderId="1" xfId="0" applyNumberFormat="1" applyFont="1" applyFill="1" applyBorder="1" applyAlignment="1">
      <alignment horizontal="center" textRotation="90"/>
    </xf>
    <xf numFmtId="40" fontId="4" fillId="3" borderId="1" xfId="0" applyNumberFormat="1" applyFont="1" applyFill="1" applyBorder="1" applyAlignment="1">
      <alignment horizontal="center" textRotation="90"/>
    </xf>
    <xf numFmtId="165" fontId="4" fillId="3" borderId="1" xfId="0" applyNumberFormat="1" applyFont="1" applyFill="1" applyBorder="1" applyAlignment="1">
      <alignment horizontal="center" textRotation="90"/>
    </xf>
    <xf numFmtId="166" fontId="4" fillId="3" borderId="1" xfId="0" applyNumberFormat="1" applyFont="1" applyFill="1" applyBorder="1" applyAlignment="1">
      <alignment horizontal="center" textRotation="90"/>
    </xf>
    <xf numFmtId="167" fontId="4" fillId="3" borderId="1" xfId="0" applyNumberFormat="1" applyFont="1" applyFill="1" applyBorder="1" applyAlignment="1">
      <alignment horizontal="center" textRotation="90"/>
    </xf>
    <xf numFmtId="168" fontId="4" fillId="3" borderId="1" xfId="0" applyNumberFormat="1" applyFont="1" applyFill="1" applyBorder="1" applyAlignment="1">
      <alignment horizontal="center" textRotation="90"/>
    </xf>
    <xf numFmtId="169" fontId="4" fillId="3" borderId="1" xfId="0" applyNumberFormat="1" applyFont="1" applyFill="1" applyBorder="1" applyAlignment="1">
      <alignment horizontal="center" textRotation="90"/>
    </xf>
    <xf numFmtId="170" fontId="4" fillId="3" borderId="1" xfId="0" applyNumberFormat="1" applyFont="1" applyFill="1" applyBorder="1" applyAlignment="1">
      <alignment horizontal="center" textRotation="90"/>
    </xf>
    <xf numFmtId="171" fontId="4" fillId="3" borderId="1" xfId="0" applyNumberFormat="1" applyFont="1" applyFill="1" applyBorder="1" applyAlignment="1">
      <alignment horizontal="center" textRotation="90"/>
    </xf>
    <xf numFmtId="166" fontId="4" fillId="3" borderId="1" xfId="0" applyNumberFormat="1" applyFont="1" applyFill="1" applyBorder="1" applyAlignment="1">
      <alignment horizontal="center" textRotation="90"/>
    </xf>
    <xf numFmtId="38" fontId="4" fillId="3" borderId="1" xfId="0" applyNumberFormat="1" applyFont="1" applyFill="1" applyBorder="1" applyAlignment="1">
      <alignment horizontal="center" textRotation="90"/>
    </xf>
    <xf numFmtId="40" fontId="4" fillId="0" borderId="1" xfId="0" applyNumberFormat="1" applyFont="1" applyBorder="1" applyAlignment="1">
      <alignment horizontal="center" vertical="center" wrapText="1"/>
    </xf>
    <xf numFmtId="164" fontId="4" fillId="4" borderId="1" xfId="0" applyNumberFormat="1" applyFont="1" applyFill="1" applyBorder="1" applyAlignment="1">
      <alignment horizontal="center"/>
    </xf>
    <xf numFmtId="38" fontId="4" fillId="4" borderId="1" xfId="0" applyNumberFormat="1" applyFont="1" applyFill="1" applyBorder="1" applyAlignment="1">
      <alignment horizontal="center"/>
    </xf>
    <xf numFmtId="40" fontId="4" fillId="0" borderId="1" xfId="0" applyNumberFormat="1" applyFont="1" applyFill="1" applyBorder="1" applyAlignment="1">
      <alignment horizontal="left" vertical="center" wrapText="1"/>
    </xf>
    <xf numFmtId="40" fontId="4" fillId="0" borderId="1" xfId="0" applyNumberFormat="1" applyFont="1" applyFill="1" applyBorder="1" applyAlignment="1">
      <alignment horizontal="left"/>
    </xf>
    <xf numFmtId="0" fontId="8" fillId="0" borderId="0" xfId="0" applyFont="1" applyFill="1" applyAlignment="1">
      <alignment horizontal="center" vertical="center"/>
    </xf>
    <xf numFmtId="49" fontId="8" fillId="0" borderId="1" xfId="3" applyNumberFormat="1" applyFont="1" applyFill="1" applyBorder="1" applyAlignment="1">
      <alignment horizontal="center" vertical="center"/>
    </xf>
    <xf numFmtId="164" fontId="8" fillId="0" borderId="1" xfId="3" applyNumberFormat="1" applyFont="1" applyFill="1" applyBorder="1" applyAlignment="1">
      <alignment horizontal="center" vertical="center"/>
    </xf>
    <xf numFmtId="0" fontId="8" fillId="0" borderId="1" xfId="2" applyNumberFormat="1" applyFont="1" applyFill="1" applyBorder="1" applyAlignment="1">
      <alignment horizontal="center" vertical="center"/>
    </xf>
    <xf numFmtId="164" fontId="8" fillId="0" borderId="0" xfId="0" applyNumberFormat="1" applyFont="1" applyFill="1" applyAlignment="1">
      <alignment horizontal="center" vertical="center"/>
    </xf>
    <xf numFmtId="49" fontId="9" fillId="0" borderId="1" xfId="2" applyNumberFormat="1" applyFont="1" applyFill="1" applyBorder="1" applyAlignment="1">
      <alignment horizontal="center" vertical="center"/>
    </xf>
    <xf numFmtId="49" fontId="8" fillId="0" borderId="1" xfId="2" quotePrefix="1" applyNumberFormat="1" applyFont="1" applyFill="1" applyBorder="1" applyAlignment="1">
      <alignment horizontal="center" vertical="center"/>
    </xf>
    <xf numFmtId="164" fontId="8" fillId="0" borderId="1" xfId="3" quotePrefix="1" applyNumberFormat="1" applyFont="1" applyFill="1" applyBorder="1" applyAlignment="1">
      <alignment horizontal="center" vertical="center"/>
    </xf>
    <xf numFmtId="0" fontId="8" fillId="0" borderId="1" xfId="2" quotePrefix="1" applyNumberFormat="1" applyFont="1" applyFill="1" applyBorder="1" applyAlignment="1">
      <alignment horizontal="center" vertical="center"/>
    </xf>
    <xf numFmtId="172" fontId="8" fillId="0" borderId="1" xfId="3" quotePrefix="1" applyNumberFormat="1" applyFont="1" applyFill="1" applyBorder="1" applyAlignment="1">
      <alignment horizontal="center" vertical="center"/>
    </xf>
    <xf numFmtId="165" fontId="4" fillId="4" borderId="1" xfId="0" applyNumberFormat="1" applyFont="1" applyFill="1" applyBorder="1" applyAlignment="1">
      <alignment horizontal="center"/>
    </xf>
    <xf numFmtId="40" fontId="4" fillId="4" borderId="1" xfId="0" applyNumberFormat="1" applyFont="1" applyFill="1" applyBorder="1" applyAlignment="1">
      <alignment horizontal="center"/>
    </xf>
    <xf numFmtId="167" fontId="4" fillId="4" borderId="1" xfId="0" applyNumberFormat="1" applyFont="1" applyFill="1" applyBorder="1" applyAlignment="1">
      <alignment horizontal="center"/>
    </xf>
    <xf numFmtId="166" fontId="4" fillId="3" borderId="1" xfId="0" applyNumberFormat="1" applyFont="1" applyFill="1" applyBorder="1" applyAlignment="1">
      <alignment horizontal="center" textRotation="90"/>
    </xf>
    <xf numFmtId="38" fontId="4" fillId="3" borderId="1" xfId="0" applyNumberFormat="1" applyFont="1" applyFill="1" applyBorder="1" applyAlignment="1">
      <alignment horizontal="center" textRotation="90"/>
    </xf>
    <xf numFmtId="40" fontId="10" fillId="0" borderId="1" xfId="0" applyNumberFormat="1" applyFont="1" applyFill="1" applyBorder="1" applyAlignment="1">
      <alignment horizontal="left" vertical="center" wrapText="1"/>
    </xf>
    <xf numFmtId="0" fontId="12" fillId="0" borderId="0" xfId="0" applyFont="1" applyFill="1" applyAlignment="1">
      <alignment horizontal="center" vertical="center"/>
    </xf>
    <xf numFmtId="40" fontId="10" fillId="0" borderId="1" xfId="0" applyNumberFormat="1" applyFont="1" applyFill="1" applyBorder="1" applyAlignment="1">
      <alignment horizontal="left"/>
    </xf>
    <xf numFmtId="166" fontId="4" fillId="4" borderId="1" xfId="0" applyNumberFormat="1" applyFont="1" applyFill="1" applyBorder="1" applyAlignment="1">
      <alignment horizontal="center"/>
    </xf>
    <xf numFmtId="170" fontId="4" fillId="4" borderId="1" xfId="0" applyNumberFormat="1" applyFont="1" applyFill="1" applyBorder="1" applyAlignment="1">
      <alignment horizontal="center"/>
    </xf>
    <xf numFmtId="168" fontId="4" fillId="4" borderId="1" xfId="0" applyNumberFormat="1" applyFont="1" applyFill="1" applyBorder="1" applyAlignment="1">
      <alignment horizontal="center"/>
    </xf>
    <xf numFmtId="169" fontId="4" fillId="4" borderId="1" xfId="0" applyNumberFormat="1" applyFont="1" applyFill="1" applyBorder="1" applyAlignment="1">
      <alignment horizontal="center"/>
    </xf>
    <xf numFmtId="172" fontId="8" fillId="0" borderId="1" xfId="2" applyNumberFormat="1" applyFont="1" applyFill="1" applyBorder="1" applyAlignment="1">
      <alignment horizontal="center" vertical="center"/>
    </xf>
    <xf numFmtId="173" fontId="8" fillId="0" borderId="1" xfId="2" applyNumberFormat="1" applyFont="1" applyFill="1" applyBorder="1" applyAlignment="1">
      <alignment horizontal="center" vertical="center"/>
    </xf>
    <xf numFmtId="1" fontId="8" fillId="0" borderId="1" xfId="2" applyNumberFormat="1" applyFont="1" applyFill="1" applyBorder="1" applyAlignment="1">
      <alignment horizontal="center" vertical="center"/>
    </xf>
    <xf numFmtId="38" fontId="4" fillId="3" borderId="2" xfId="0" applyNumberFormat="1" applyFont="1" applyFill="1" applyBorder="1" applyAlignment="1">
      <alignment horizontal="center" textRotation="90"/>
    </xf>
    <xf numFmtId="175" fontId="8" fillId="4" borderId="1" xfId="0" applyNumberFormat="1" applyFont="1" applyFill="1" applyBorder="1" applyAlignment="1">
      <alignment horizontal="center"/>
    </xf>
    <xf numFmtId="173" fontId="4" fillId="4" borderId="1" xfId="0" applyNumberFormat="1" applyFont="1" applyFill="1" applyBorder="1" applyAlignment="1">
      <alignment horizontal="center"/>
    </xf>
    <xf numFmtId="174" fontId="8" fillId="0" borderId="1" xfId="3" quotePrefix="1" applyNumberFormat="1" applyFont="1" applyFill="1" applyBorder="1" applyAlignment="1">
      <alignment horizontal="center" vertical="center"/>
    </xf>
    <xf numFmtId="174" fontId="4" fillId="4" borderId="1" xfId="0" applyNumberFormat="1" applyFont="1" applyFill="1" applyBorder="1" applyAlignment="1">
      <alignment horizontal="center"/>
    </xf>
    <xf numFmtId="173" fontId="9" fillId="0" borderId="1" xfId="2" applyNumberFormat="1" applyFont="1" applyFill="1" applyBorder="1" applyAlignment="1">
      <alignment horizontal="center" vertical="center"/>
    </xf>
    <xf numFmtId="176" fontId="8" fillId="0" borderId="1" xfId="2" quotePrefix="1" applyNumberFormat="1" applyFont="1" applyFill="1" applyBorder="1" applyAlignment="1">
      <alignment horizontal="center" vertical="center"/>
    </xf>
    <xf numFmtId="176" fontId="8" fillId="0" borderId="1" xfId="2" applyNumberFormat="1" applyFont="1" applyFill="1" applyBorder="1" applyAlignment="1">
      <alignment horizontal="center" vertical="center"/>
    </xf>
    <xf numFmtId="176" fontId="9" fillId="0" borderId="1" xfId="2" applyNumberFormat="1" applyFont="1" applyFill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center"/>
    </xf>
    <xf numFmtId="0" fontId="11" fillId="0" borderId="2" xfId="0" applyFont="1" applyFill="1" applyBorder="1" applyAlignment="1">
      <alignment vertical="center" wrapText="1"/>
    </xf>
    <xf numFmtId="0" fontId="10" fillId="0" borderId="4" xfId="0" applyFont="1" applyFill="1" applyBorder="1" applyAlignment="1">
      <alignment vertical="center" wrapText="1"/>
    </xf>
    <xf numFmtId="0" fontId="10" fillId="0" borderId="3" xfId="0" applyFont="1" applyFill="1" applyBorder="1" applyAlignment="1">
      <alignment vertical="center" wrapText="1"/>
    </xf>
    <xf numFmtId="0" fontId="10" fillId="0" borderId="2" xfId="0" applyFont="1" applyFill="1" applyBorder="1" applyAlignment="1">
      <alignment vertical="center" wrapText="1"/>
    </xf>
    <xf numFmtId="177" fontId="8" fillId="0" borderId="1" xfId="2" quotePrefix="1" applyNumberFormat="1" applyFont="1" applyFill="1" applyBorder="1" applyAlignment="1">
      <alignment horizontal="center" vertical="center"/>
    </xf>
    <xf numFmtId="177" fontId="8" fillId="0" borderId="1" xfId="2" applyNumberFormat="1" applyFont="1" applyFill="1" applyBorder="1" applyAlignment="1">
      <alignment horizontal="center" vertical="center"/>
    </xf>
    <xf numFmtId="177" fontId="9" fillId="0" borderId="1" xfId="2" applyNumberFormat="1" applyFont="1" applyFill="1" applyBorder="1" applyAlignment="1">
      <alignment horizontal="center" vertical="center"/>
    </xf>
    <xf numFmtId="177" fontId="4" fillId="4" borderId="1" xfId="0" applyNumberFormat="1" applyFont="1" applyFill="1" applyBorder="1" applyAlignment="1">
      <alignment horizontal="center"/>
    </xf>
    <xf numFmtId="172" fontId="8" fillId="0" borderId="1" xfId="2" quotePrefix="1" applyNumberFormat="1" applyFont="1" applyFill="1" applyBorder="1" applyAlignment="1">
      <alignment horizontal="center" vertical="center"/>
    </xf>
    <xf numFmtId="172" fontId="9" fillId="0" borderId="1" xfId="2" applyNumberFormat="1" applyFont="1" applyFill="1" applyBorder="1" applyAlignment="1">
      <alignment horizontal="center" vertical="center"/>
    </xf>
    <xf numFmtId="172" fontId="4" fillId="4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/>
    </xf>
    <xf numFmtId="175" fontId="4" fillId="4" borderId="1" xfId="0" applyNumberFormat="1" applyFont="1" applyFill="1" applyBorder="1" applyAlignment="1">
      <alignment horizontal="center"/>
    </xf>
    <xf numFmtId="166" fontId="4" fillId="3" borderId="1" xfId="0" applyNumberFormat="1" applyFont="1" applyFill="1" applyBorder="1" applyAlignment="1">
      <alignment horizontal="center" textRotation="90"/>
    </xf>
    <xf numFmtId="38" fontId="4" fillId="3" borderId="1" xfId="0" applyNumberFormat="1" applyFont="1" applyFill="1" applyBorder="1" applyAlignment="1">
      <alignment horizontal="center" textRotation="90"/>
    </xf>
    <xf numFmtId="166" fontId="8" fillId="0" borderId="1" xfId="2" applyNumberFormat="1" applyFont="1" applyFill="1" applyBorder="1" applyAlignment="1">
      <alignment horizontal="center" vertical="center"/>
    </xf>
    <xf numFmtId="166" fontId="8" fillId="0" borderId="0" xfId="0" applyNumberFormat="1" applyFont="1" applyFill="1" applyAlignment="1">
      <alignment horizontal="center" vertical="center"/>
    </xf>
    <xf numFmtId="38" fontId="4" fillId="3" borderId="1" xfId="0" applyNumberFormat="1" applyFont="1" applyFill="1" applyBorder="1" applyAlignment="1">
      <alignment horizontal="center" textRotation="90"/>
    </xf>
    <xf numFmtId="173" fontId="8" fillId="0" borderId="1" xfId="3" quotePrefix="1" applyNumberFormat="1" applyFont="1" applyFill="1" applyBorder="1" applyAlignment="1">
      <alignment horizontal="center" vertical="center"/>
    </xf>
    <xf numFmtId="172" fontId="4" fillId="3" borderId="1" xfId="0" applyNumberFormat="1" applyFont="1" applyFill="1" applyBorder="1" applyAlignment="1">
      <alignment horizontal="center" textRotation="90"/>
    </xf>
    <xf numFmtId="172" fontId="8" fillId="0" borderId="0" xfId="0" applyNumberFormat="1" applyFont="1" applyFill="1" applyAlignment="1">
      <alignment horizontal="center" vertical="center"/>
    </xf>
    <xf numFmtId="49" fontId="8" fillId="0" borderId="1" xfId="0" quotePrefix="1" applyNumberFormat="1" applyFont="1" applyFill="1" applyBorder="1" applyAlignment="1">
      <alignment horizontal="center" vertical="center"/>
    </xf>
    <xf numFmtId="167" fontId="8" fillId="0" borderId="1" xfId="2" applyNumberFormat="1" applyFont="1" applyFill="1" applyBorder="1" applyAlignment="1">
      <alignment horizontal="center" vertical="center"/>
    </xf>
    <xf numFmtId="167" fontId="9" fillId="0" borderId="1" xfId="2" applyNumberFormat="1" applyFont="1" applyFill="1" applyBorder="1" applyAlignment="1">
      <alignment horizontal="center" vertical="center"/>
    </xf>
    <xf numFmtId="167" fontId="8" fillId="0" borderId="0" xfId="0" applyNumberFormat="1" applyFont="1" applyFill="1" applyAlignment="1">
      <alignment horizontal="center" vertical="center"/>
    </xf>
    <xf numFmtId="170" fontId="8" fillId="0" borderId="1" xfId="2" applyNumberFormat="1" applyFont="1" applyFill="1" applyBorder="1" applyAlignment="1">
      <alignment horizontal="center" vertical="center"/>
    </xf>
    <xf numFmtId="173" fontId="4" fillId="3" borderId="1" xfId="0" applyNumberFormat="1" applyFont="1" applyFill="1" applyBorder="1" applyAlignment="1">
      <alignment horizontal="center" textRotation="90"/>
    </xf>
    <xf numFmtId="173" fontId="8" fillId="0" borderId="0" xfId="0" applyNumberFormat="1" applyFont="1" applyFill="1" applyAlignment="1">
      <alignment horizontal="center" vertical="center"/>
    </xf>
    <xf numFmtId="38" fontId="4" fillId="3" borderId="1" xfId="0" applyNumberFormat="1" applyFont="1" applyFill="1" applyBorder="1" applyAlignment="1">
      <alignment horizontal="center" textRotation="90"/>
    </xf>
    <xf numFmtId="174" fontId="8" fillId="0" borderId="1" xfId="2" quotePrefix="1" applyNumberFormat="1" applyFont="1" applyFill="1" applyBorder="1" applyAlignment="1">
      <alignment horizontal="center" vertical="center"/>
    </xf>
    <xf numFmtId="1" fontId="8" fillId="0" borderId="1" xfId="2" quotePrefix="1" applyNumberFormat="1" applyFont="1" applyFill="1" applyBorder="1" applyAlignment="1">
      <alignment horizontal="center" vertical="center"/>
    </xf>
    <xf numFmtId="38" fontId="4" fillId="4" borderId="1" xfId="0" quotePrefix="1" applyNumberFormat="1" applyFont="1" applyFill="1" applyBorder="1" applyAlignment="1">
      <alignment horizontal="center"/>
    </xf>
    <xf numFmtId="40" fontId="8" fillId="0" borderId="1" xfId="2" applyNumberFormat="1" applyFont="1" applyFill="1" applyBorder="1" applyAlignment="1">
      <alignment horizontal="center" vertical="center"/>
    </xf>
    <xf numFmtId="40" fontId="8" fillId="0" borderId="0" xfId="0" applyNumberFormat="1" applyFont="1" applyFill="1" applyAlignment="1">
      <alignment horizontal="center" vertical="center"/>
    </xf>
    <xf numFmtId="38" fontId="8" fillId="0" borderId="1" xfId="2" applyNumberFormat="1" applyFont="1" applyFill="1" applyBorder="1" applyAlignment="1">
      <alignment horizontal="center" vertical="center"/>
    </xf>
    <xf numFmtId="38" fontId="8" fillId="0" borderId="0" xfId="0" applyNumberFormat="1" applyFont="1" applyFill="1" applyAlignment="1">
      <alignment horizontal="center" vertical="center"/>
    </xf>
    <xf numFmtId="174" fontId="8" fillId="0" borderId="1" xfId="2" applyNumberFormat="1" applyFont="1" applyFill="1" applyBorder="1" applyAlignment="1">
      <alignment horizontal="center" vertical="center"/>
    </xf>
    <xf numFmtId="2" fontId="8" fillId="0" borderId="1" xfId="2" quotePrefix="1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 applyAlignment="1">
      <alignment horizontal="center"/>
    </xf>
    <xf numFmtId="164" fontId="8" fillId="0" borderId="1" xfId="3" applyNumberFormat="1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textRotation="90" wrapText="1"/>
    </xf>
    <xf numFmtId="165" fontId="4" fillId="3" borderId="1" xfId="0" applyNumberFormat="1" applyFont="1" applyFill="1" applyBorder="1" applyAlignment="1">
      <alignment horizontal="center" textRotation="90" wrapText="1"/>
    </xf>
    <xf numFmtId="38" fontId="4" fillId="3" borderId="1" xfId="0" applyNumberFormat="1" applyFont="1" applyFill="1" applyBorder="1" applyAlignment="1">
      <alignment horizontal="center" textRotation="90" wrapText="1"/>
    </xf>
    <xf numFmtId="40" fontId="4" fillId="3" borderId="1" xfId="0" applyNumberFormat="1" applyFont="1" applyFill="1" applyBorder="1" applyAlignment="1">
      <alignment horizontal="center" textRotation="90" wrapText="1"/>
    </xf>
    <xf numFmtId="167" fontId="4" fillId="3" borderId="1" xfId="0" applyNumberFormat="1" applyFont="1" applyFill="1" applyBorder="1" applyAlignment="1">
      <alignment horizontal="center" textRotation="90" wrapText="1"/>
    </xf>
    <xf numFmtId="0" fontId="8" fillId="0" borderId="0" xfId="0" applyFont="1" applyFill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/>
    </xf>
    <xf numFmtId="40" fontId="7" fillId="0" borderId="1" xfId="4" applyNumberFormat="1" applyFont="1" applyFill="1" applyBorder="1" applyAlignment="1">
      <alignment horizontal="center" wrapText="1"/>
    </xf>
    <xf numFmtId="165" fontId="4" fillId="0" borderId="1" xfId="0" applyNumberFormat="1" applyFont="1" applyFill="1" applyBorder="1" applyAlignment="1">
      <alignment horizontal="center"/>
    </xf>
    <xf numFmtId="38" fontId="4" fillId="0" borderId="1" xfId="0" applyNumberFormat="1" applyFont="1" applyFill="1" applyBorder="1" applyAlignment="1">
      <alignment horizontal="center"/>
    </xf>
    <xf numFmtId="40" fontId="4" fillId="0" borderId="1" xfId="0" applyNumberFormat="1" applyFont="1" applyFill="1" applyBorder="1" applyAlignment="1">
      <alignment horizontal="center"/>
    </xf>
    <xf numFmtId="166" fontId="18" fillId="0" borderId="1" xfId="0" applyNumberFormat="1" applyFont="1" applyFill="1" applyBorder="1" applyAlignment="1">
      <alignment horizontal="center"/>
    </xf>
    <xf numFmtId="167" fontId="4" fillId="0" borderId="1" xfId="0" applyNumberFormat="1" applyFont="1" applyFill="1" applyBorder="1" applyAlignment="1">
      <alignment horizontal="center"/>
    </xf>
    <xf numFmtId="167" fontId="18" fillId="0" borderId="1" xfId="0" applyNumberFormat="1" applyFont="1" applyFill="1" applyBorder="1" applyAlignment="1">
      <alignment horizontal="center"/>
    </xf>
    <xf numFmtId="40" fontId="18" fillId="0" borderId="1" xfId="0" applyNumberFormat="1" applyFont="1" applyFill="1" applyBorder="1" applyAlignment="1">
      <alignment horizontal="center"/>
    </xf>
    <xf numFmtId="170" fontId="4" fillId="0" borderId="1" xfId="0" applyNumberFormat="1" applyFont="1" applyFill="1" applyBorder="1" applyAlignment="1">
      <alignment horizontal="center"/>
    </xf>
    <xf numFmtId="170" fontId="18" fillId="0" borderId="1" xfId="0" applyNumberFormat="1" applyFont="1" applyFill="1" applyBorder="1" applyAlignment="1">
      <alignment horizontal="center"/>
    </xf>
    <xf numFmtId="174" fontId="4" fillId="0" borderId="1" xfId="0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164" fontId="8" fillId="0" borderId="1" xfId="3" applyNumberFormat="1" applyFont="1" applyFill="1" applyBorder="1" applyAlignment="1">
      <alignment horizontal="center" vertical="center"/>
    </xf>
    <xf numFmtId="38" fontId="4" fillId="0" borderId="1" xfId="0" quotePrefix="1" applyNumberFormat="1" applyFont="1" applyFill="1" applyBorder="1" applyAlignment="1">
      <alignment horizontal="center"/>
    </xf>
    <xf numFmtId="1" fontId="20" fillId="0" borderId="8" xfId="0" applyNumberFormat="1" applyFont="1" applyFill="1" applyBorder="1"/>
    <xf numFmtId="1" fontId="20" fillId="2" borderId="8" xfId="0" applyNumberFormat="1" applyFont="1" applyFill="1" applyBorder="1"/>
    <xf numFmtId="174" fontId="20" fillId="2" borderId="8" xfId="0" applyNumberFormat="1" applyFont="1" applyFill="1" applyBorder="1"/>
    <xf numFmtId="180" fontId="4" fillId="4" borderId="1" xfId="0" applyNumberFormat="1" applyFont="1" applyFill="1" applyBorder="1" applyAlignment="1">
      <alignment horizontal="center"/>
    </xf>
    <xf numFmtId="2" fontId="21" fillId="0" borderId="1" xfId="0" quotePrefix="1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 shrinkToFit="1"/>
    </xf>
    <xf numFmtId="40" fontId="3" fillId="0" borderId="1" xfId="0" applyNumberFormat="1" applyFont="1" applyFill="1" applyBorder="1" applyAlignment="1">
      <alignment horizontal="center" textRotation="90" wrapText="1"/>
    </xf>
    <xf numFmtId="172" fontId="4" fillId="3" borderId="1" xfId="0" applyNumberFormat="1" applyFont="1" applyFill="1" applyBorder="1" applyAlignment="1">
      <alignment horizontal="center" textRotation="90" wrapText="1"/>
    </xf>
    <xf numFmtId="168" fontId="4" fillId="3" borderId="1" xfId="0" applyNumberFormat="1" applyFont="1" applyFill="1" applyBorder="1" applyAlignment="1">
      <alignment horizontal="center" textRotation="90" wrapText="1"/>
    </xf>
    <xf numFmtId="170" fontId="4" fillId="3" borderId="1" xfId="0" applyNumberFormat="1" applyFont="1" applyFill="1" applyBorder="1" applyAlignment="1">
      <alignment horizontal="center" textRotation="90" wrapText="1"/>
    </xf>
    <xf numFmtId="169" fontId="4" fillId="3" borderId="1" xfId="0" applyNumberFormat="1" applyFont="1" applyFill="1" applyBorder="1" applyAlignment="1">
      <alignment horizontal="center" textRotation="90" wrapText="1"/>
    </xf>
    <xf numFmtId="2" fontId="8" fillId="0" borderId="1" xfId="3" quotePrefix="1" applyNumberFormat="1" applyFont="1" applyFill="1" applyBorder="1" applyAlignment="1">
      <alignment horizontal="center" vertical="center"/>
    </xf>
    <xf numFmtId="0" fontId="8" fillId="0" borderId="2" xfId="2" applyNumberFormat="1" applyFont="1" applyFill="1" applyBorder="1" applyAlignment="1">
      <alignment horizontal="center" vertical="center"/>
    </xf>
    <xf numFmtId="0" fontId="8" fillId="0" borderId="4" xfId="2" applyNumberFormat="1" applyFont="1" applyFill="1" applyBorder="1" applyAlignment="1">
      <alignment horizontal="center" vertical="center"/>
    </xf>
    <xf numFmtId="0" fontId="8" fillId="0" borderId="3" xfId="2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0" fillId="0" borderId="2" xfId="0" applyFont="1" applyFill="1" applyBorder="1" applyAlignment="1">
      <alignment horizontal="left" vertical="center" wrapText="1"/>
    </xf>
    <xf numFmtId="0" fontId="10" fillId="0" borderId="4" xfId="0" applyFont="1" applyFill="1" applyBorder="1" applyAlignment="1">
      <alignment horizontal="left" vertical="center" wrapText="1"/>
    </xf>
    <xf numFmtId="164" fontId="8" fillId="0" borderId="2" xfId="3" applyNumberFormat="1" applyFont="1" applyFill="1" applyBorder="1" applyAlignment="1">
      <alignment horizontal="center" vertical="center"/>
    </xf>
    <xf numFmtId="164" fontId="8" fillId="0" borderId="4" xfId="3" applyNumberFormat="1" applyFont="1" applyFill="1" applyBorder="1" applyAlignment="1">
      <alignment horizontal="center" vertical="center"/>
    </xf>
    <xf numFmtId="164" fontId="8" fillId="0" borderId="3" xfId="3" applyNumberFormat="1" applyFont="1" applyFill="1" applyBorder="1" applyAlignment="1">
      <alignment horizontal="center" vertical="center"/>
    </xf>
    <xf numFmtId="164" fontId="8" fillId="0" borderId="2" xfId="3" quotePrefix="1" applyNumberFormat="1" applyFont="1" applyFill="1" applyBorder="1" applyAlignment="1">
      <alignment horizontal="center" vertical="center"/>
    </xf>
    <xf numFmtId="164" fontId="8" fillId="0" borderId="4" xfId="3" quotePrefix="1" applyNumberFormat="1" applyFont="1" applyFill="1" applyBorder="1" applyAlignment="1">
      <alignment horizontal="center" vertical="center"/>
    </xf>
    <xf numFmtId="164" fontId="8" fillId="0" borderId="3" xfId="3" quotePrefix="1" applyNumberFormat="1" applyFont="1" applyFill="1" applyBorder="1" applyAlignment="1">
      <alignment horizontal="center" vertical="center"/>
    </xf>
    <xf numFmtId="49" fontId="8" fillId="0" borderId="2" xfId="2" applyNumberFormat="1" applyFont="1" applyFill="1" applyBorder="1" applyAlignment="1">
      <alignment horizontal="center" vertical="center"/>
    </xf>
    <xf numFmtId="49" fontId="8" fillId="0" borderId="4" xfId="2" applyNumberFormat="1" applyFont="1" applyFill="1" applyBorder="1" applyAlignment="1">
      <alignment horizontal="center" vertical="center"/>
    </xf>
    <xf numFmtId="49" fontId="8" fillId="0" borderId="3" xfId="2" applyNumberFormat="1" applyFont="1" applyFill="1" applyBorder="1" applyAlignment="1">
      <alignment horizontal="center" vertical="center"/>
    </xf>
    <xf numFmtId="164" fontId="8" fillId="0" borderId="1" xfId="3" applyNumberFormat="1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left" vertical="center" wrapText="1"/>
    </xf>
    <xf numFmtId="0" fontId="11" fillId="0" borderId="6" xfId="0" applyFont="1" applyFill="1" applyBorder="1" applyAlignment="1">
      <alignment horizontal="left" vertical="center" wrapText="1"/>
    </xf>
    <xf numFmtId="0" fontId="10" fillId="0" borderId="7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6" fillId="0" borderId="2" xfId="5" applyBorder="1" applyAlignment="1">
      <alignment horizontal="center"/>
    </xf>
    <xf numFmtId="0" fontId="16" fillId="0" borderId="4" xfId="5" applyBorder="1" applyAlignment="1">
      <alignment horizontal="center"/>
    </xf>
  </cellXfs>
  <cellStyles count="11">
    <cellStyle name="ColumnHeader" xfId="1" xr:uid="{00000000-0005-0000-0000-000000000000}"/>
    <cellStyle name="ColumnHeader 2" xfId="6" xr:uid="{00000000-0005-0000-0000-000001000000}"/>
    <cellStyle name="GroupColumn0" xfId="2" xr:uid="{00000000-0005-0000-0000-000002000000}"/>
    <cellStyle name="GroupColumn0 2" xfId="7" xr:uid="{00000000-0005-0000-0000-000003000000}"/>
    <cellStyle name="Normal" xfId="0" builtinId="0"/>
    <cellStyle name="Normal 2" xfId="5" xr:uid="{00000000-0005-0000-0000-000005000000}"/>
    <cellStyle name="Normal 2 2" xfId="10" xr:uid="{00000000-0005-0000-0000-000006000000}"/>
    <cellStyle name="Normal 3" xfId="9" xr:uid="{00000000-0005-0000-0000-000007000000}"/>
    <cellStyle name="Normal_Sheet4" xfId="4" xr:uid="{00000000-0005-0000-0000-000008000000}"/>
    <cellStyle name="RowHeader" xfId="3" xr:uid="{00000000-0005-0000-0000-000009000000}"/>
    <cellStyle name="RowHeader 2" xfId="8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53"/>
  <sheetViews>
    <sheetView tabSelected="1" topLeftCell="A14" zoomScaleNormal="100" workbookViewId="0">
      <selection activeCell="B32" sqref="B32"/>
    </sheetView>
  </sheetViews>
  <sheetFormatPr defaultColWidth="9.1328125" defaultRowHeight="15.75"/>
  <cols>
    <col min="1" max="1" width="23.3984375" style="19" bestFit="1" customWidth="1"/>
    <col min="2" max="2" width="11" style="23" bestFit="1" customWidth="1"/>
    <col min="3" max="9" width="3.86328125" style="19" bestFit="1" customWidth="1"/>
    <col min="10" max="10" width="4.265625" style="19" bestFit="1" customWidth="1"/>
    <col min="11" max="15" width="3.86328125" style="19" bestFit="1" customWidth="1"/>
    <col min="16" max="16384" width="9.1328125" style="19"/>
  </cols>
  <sheetData>
    <row r="1" spans="1:15" ht="132">
      <c r="A1" s="1" t="s">
        <v>45</v>
      </c>
      <c r="B1" s="2" t="s">
        <v>46</v>
      </c>
      <c r="C1" s="3" t="s">
        <v>47</v>
      </c>
      <c r="D1" s="5" t="s">
        <v>51</v>
      </c>
      <c r="E1" s="3" t="s">
        <v>0</v>
      </c>
      <c r="F1" s="4" t="s">
        <v>52</v>
      </c>
      <c r="G1" s="6" t="s">
        <v>56</v>
      </c>
      <c r="H1" s="7" t="s">
        <v>57</v>
      </c>
      <c r="I1" s="5" t="s">
        <v>59</v>
      </c>
      <c r="J1" s="7" t="s">
        <v>105</v>
      </c>
      <c r="K1" s="7" t="s">
        <v>60</v>
      </c>
      <c r="L1" s="7" t="s">
        <v>61</v>
      </c>
      <c r="M1" s="4" t="s">
        <v>62</v>
      </c>
      <c r="N1" s="10" t="s">
        <v>82</v>
      </c>
      <c r="O1" s="9" t="s">
        <v>85</v>
      </c>
    </row>
    <row r="2" spans="1:15">
      <c r="A2" s="20" t="s">
        <v>33</v>
      </c>
      <c r="B2" s="21">
        <v>42739</v>
      </c>
      <c r="C2" s="127" t="s">
        <v>39</v>
      </c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9"/>
    </row>
    <row r="3" spans="1:15">
      <c r="A3" s="20" t="s">
        <v>33</v>
      </c>
      <c r="B3" s="21">
        <v>42746</v>
      </c>
      <c r="C3" s="127" t="s">
        <v>39</v>
      </c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9"/>
    </row>
    <row r="4" spans="1:15">
      <c r="A4" s="20" t="s">
        <v>33</v>
      </c>
      <c r="B4" s="21">
        <v>42753</v>
      </c>
      <c r="C4" s="127" t="s">
        <v>39</v>
      </c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9"/>
    </row>
    <row r="5" spans="1:15">
      <c r="A5" s="20" t="s">
        <v>33</v>
      </c>
      <c r="B5" s="21">
        <v>42760</v>
      </c>
      <c r="C5" s="127" t="s">
        <v>39</v>
      </c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9"/>
    </row>
    <row r="6" spans="1:15">
      <c r="A6" s="20" t="s">
        <v>33</v>
      </c>
      <c r="B6" s="21">
        <v>42767</v>
      </c>
      <c r="C6" s="127" t="s">
        <v>39</v>
      </c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9"/>
    </row>
    <row r="7" spans="1:15">
      <c r="A7" s="20" t="s">
        <v>33</v>
      </c>
      <c r="B7" s="21">
        <v>42774</v>
      </c>
      <c r="C7" s="127" t="s">
        <v>39</v>
      </c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9"/>
    </row>
    <row r="8" spans="1:15">
      <c r="A8" s="20" t="s">
        <v>33</v>
      </c>
      <c r="B8" s="21">
        <v>42781</v>
      </c>
      <c r="C8" s="127" t="s">
        <v>39</v>
      </c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9"/>
    </row>
    <row r="9" spans="1:15">
      <c r="A9" s="20" t="s">
        <v>33</v>
      </c>
      <c r="B9" s="21">
        <v>42788</v>
      </c>
      <c r="C9" s="127" t="s">
        <v>39</v>
      </c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9"/>
    </row>
    <row r="10" spans="1:15">
      <c r="A10" s="20" t="s">
        <v>33</v>
      </c>
      <c r="B10" s="21">
        <v>42795</v>
      </c>
      <c r="C10" s="127" t="s">
        <v>39</v>
      </c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9"/>
    </row>
    <row r="11" spans="1:15">
      <c r="A11" s="20" t="s">
        <v>33</v>
      </c>
      <c r="B11" s="21">
        <v>42802</v>
      </c>
      <c r="C11" s="127" t="s">
        <v>39</v>
      </c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9"/>
    </row>
    <row r="12" spans="1:15">
      <c r="A12" s="20" t="s">
        <v>33</v>
      </c>
      <c r="B12" s="21">
        <v>42809</v>
      </c>
      <c r="C12" s="127" t="s">
        <v>39</v>
      </c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9"/>
    </row>
    <row r="13" spans="1:15">
      <c r="A13" s="20" t="s">
        <v>33</v>
      </c>
      <c r="B13" s="21">
        <v>42816</v>
      </c>
      <c r="C13" s="127" t="s">
        <v>39</v>
      </c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9"/>
    </row>
    <row r="14" spans="1:15">
      <c r="A14" s="20" t="s">
        <v>33</v>
      </c>
      <c r="B14" s="21">
        <v>42823</v>
      </c>
      <c r="C14" s="127" t="s">
        <v>39</v>
      </c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9"/>
    </row>
    <row r="15" spans="1:15">
      <c r="A15" s="20" t="s">
        <v>33</v>
      </c>
      <c r="B15" s="21">
        <v>42830</v>
      </c>
      <c r="C15" s="127" t="s">
        <v>39</v>
      </c>
      <c r="D15" s="128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9"/>
    </row>
    <row r="16" spans="1:15">
      <c r="A16" s="20" t="s">
        <v>33</v>
      </c>
      <c r="B16" s="21">
        <v>42837</v>
      </c>
      <c r="C16" s="127" t="s">
        <v>39</v>
      </c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9"/>
    </row>
    <row r="17" spans="1:15">
      <c r="A17" s="20" t="s">
        <v>33</v>
      </c>
      <c r="B17" s="21">
        <v>42844</v>
      </c>
      <c r="C17" s="127" t="s">
        <v>39</v>
      </c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9"/>
    </row>
    <row r="18" spans="1:15">
      <c r="A18" s="20" t="s">
        <v>33</v>
      </c>
      <c r="B18" s="21">
        <v>42851</v>
      </c>
      <c r="C18" s="127" t="s">
        <v>39</v>
      </c>
      <c r="D18" s="128"/>
      <c r="E18" s="128"/>
      <c r="F18" s="128"/>
      <c r="G18" s="128"/>
      <c r="H18" s="128"/>
      <c r="I18" s="128"/>
      <c r="J18" s="128"/>
      <c r="K18" s="128"/>
      <c r="L18" s="128"/>
      <c r="M18" s="128"/>
      <c r="N18" s="128"/>
      <c r="O18" s="129"/>
    </row>
    <row r="19" spans="1:15">
      <c r="A19" s="20" t="s">
        <v>33</v>
      </c>
      <c r="B19" s="21">
        <v>42858</v>
      </c>
      <c r="C19" s="127" t="s">
        <v>39</v>
      </c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9"/>
    </row>
    <row r="20" spans="1:15">
      <c r="A20" s="20" t="s">
        <v>33</v>
      </c>
      <c r="B20" s="21">
        <v>42865</v>
      </c>
      <c r="C20" s="127" t="s">
        <v>39</v>
      </c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9"/>
    </row>
    <row r="21" spans="1:15">
      <c r="A21" s="20" t="s">
        <v>33</v>
      </c>
      <c r="B21" s="21">
        <v>42872</v>
      </c>
      <c r="C21" s="127" t="s">
        <v>39</v>
      </c>
      <c r="D21" s="128"/>
      <c r="E21" s="128"/>
      <c r="F21" s="128"/>
      <c r="G21" s="128"/>
      <c r="H21" s="128"/>
      <c r="I21" s="128"/>
      <c r="J21" s="128"/>
      <c r="K21" s="128"/>
      <c r="L21" s="128"/>
      <c r="M21" s="128"/>
      <c r="N21" s="128"/>
      <c r="O21" s="129"/>
    </row>
    <row r="22" spans="1:15">
      <c r="A22" s="20" t="s">
        <v>33</v>
      </c>
      <c r="B22" s="21">
        <v>42879</v>
      </c>
      <c r="C22" s="127" t="s">
        <v>39</v>
      </c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8"/>
      <c r="O22" s="129"/>
    </row>
    <row r="23" spans="1:15">
      <c r="A23" s="20" t="s">
        <v>33</v>
      </c>
      <c r="B23" s="21">
        <v>42886</v>
      </c>
      <c r="C23" s="127" t="s">
        <v>39</v>
      </c>
      <c r="D23" s="128"/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129"/>
    </row>
    <row r="24" spans="1:15">
      <c r="A24" s="20" t="s">
        <v>33</v>
      </c>
      <c r="B24" s="21">
        <v>42893</v>
      </c>
      <c r="C24" s="127" t="s">
        <v>39</v>
      </c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9"/>
    </row>
    <row r="25" spans="1:15">
      <c r="A25" s="20" t="s">
        <v>33</v>
      </c>
      <c r="B25" s="21">
        <v>42900</v>
      </c>
      <c r="C25" s="127" t="s">
        <v>39</v>
      </c>
      <c r="D25" s="128"/>
      <c r="E25" s="128"/>
      <c r="F25" s="128"/>
      <c r="G25" s="128"/>
      <c r="H25" s="128"/>
      <c r="I25" s="128"/>
      <c r="J25" s="128"/>
      <c r="K25" s="128"/>
      <c r="L25" s="128"/>
      <c r="M25" s="128"/>
      <c r="N25" s="128"/>
      <c r="O25" s="129"/>
    </row>
    <row r="26" spans="1:15">
      <c r="A26" s="20" t="s">
        <v>33</v>
      </c>
      <c r="B26" s="21">
        <v>42907</v>
      </c>
      <c r="C26" s="127" t="s">
        <v>39</v>
      </c>
      <c r="D26" s="128"/>
      <c r="E26" s="128"/>
      <c r="F26" s="128"/>
      <c r="G26" s="128"/>
      <c r="H26" s="128"/>
      <c r="I26" s="128"/>
      <c r="J26" s="128"/>
      <c r="K26" s="128"/>
      <c r="L26" s="128"/>
      <c r="M26" s="128"/>
      <c r="N26" s="128"/>
      <c r="O26" s="129"/>
    </row>
    <row r="27" spans="1:15">
      <c r="A27" s="20" t="s">
        <v>33</v>
      </c>
      <c r="B27" s="21">
        <v>42914</v>
      </c>
      <c r="C27" s="127" t="s">
        <v>39</v>
      </c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9"/>
    </row>
    <row r="28" spans="1:15">
      <c r="A28" s="20" t="s">
        <v>33</v>
      </c>
      <c r="B28" s="21">
        <v>42921</v>
      </c>
      <c r="C28" s="127" t="s">
        <v>39</v>
      </c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29"/>
    </row>
    <row r="29" spans="1:15">
      <c r="A29" s="20" t="s">
        <v>33</v>
      </c>
      <c r="B29" s="21">
        <v>42928</v>
      </c>
      <c r="C29" s="127" t="s">
        <v>39</v>
      </c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8"/>
      <c r="O29" s="129"/>
    </row>
    <row r="30" spans="1:15">
      <c r="A30" s="20" t="s">
        <v>33</v>
      </c>
      <c r="B30" s="21">
        <v>42935</v>
      </c>
      <c r="C30" s="127" t="s">
        <v>39</v>
      </c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9"/>
    </row>
    <row r="31" spans="1:15">
      <c r="A31" s="20" t="s">
        <v>33</v>
      </c>
      <c r="B31" s="21">
        <v>42942</v>
      </c>
      <c r="C31" s="127" t="s">
        <v>39</v>
      </c>
      <c r="D31" s="128"/>
      <c r="E31" s="128"/>
      <c r="F31" s="128"/>
      <c r="G31" s="128"/>
      <c r="H31" s="128"/>
      <c r="I31" s="128"/>
      <c r="J31" s="128"/>
      <c r="K31" s="128"/>
      <c r="L31" s="128"/>
      <c r="M31" s="128"/>
      <c r="N31" s="128"/>
      <c r="O31" s="129"/>
    </row>
    <row r="32" spans="1:15">
      <c r="A32" s="20" t="s">
        <v>33</v>
      </c>
      <c r="B32" s="21">
        <v>42949</v>
      </c>
      <c r="C32" s="127" t="s">
        <v>39</v>
      </c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9"/>
    </row>
    <row r="33" spans="1:15">
      <c r="A33" s="20" t="s">
        <v>33</v>
      </c>
      <c r="B33" s="21">
        <v>42956</v>
      </c>
      <c r="C33" s="127" t="s">
        <v>39</v>
      </c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9"/>
    </row>
    <row r="34" spans="1:15">
      <c r="A34" s="20" t="s">
        <v>33</v>
      </c>
      <c r="B34" s="21">
        <v>42963</v>
      </c>
      <c r="C34" s="127" t="s">
        <v>39</v>
      </c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9"/>
    </row>
    <row r="35" spans="1:15">
      <c r="A35" s="20" t="s">
        <v>33</v>
      </c>
      <c r="B35" s="21">
        <v>42970</v>
      </c>
      <c r="C35" s="127" t="s">
        <v>39</v>
      </c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9"/>
    </row>
    <row r="36" spans="1:15">
      <c r="A36" s="20" t="s">
        <v>33</v>
      </c>
      <c r="B36" s="21">
        <v>42977</v>
      </c>
      <c r="C36" s="127" t="s">
        <v>39</v>
      </c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9"/>
    </row>
    <row r="37" spans="1:15">
      <c r="A37" s="20" t="s">
        <v>33</v>
      </c>
      <c r="B37" s="21">
        <v>42984</v>
      </c>
      <c r="C37" s="127" t="s">
        <v>39</v>
      </c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9"/>
    </row>
    <row r="38" spans="1:15">
      <c r="A38" s="20" t="s">
        <v>33</v>
      </c>
      <c r="B38" s="21">
        <v>42991</v>
      </c>
      <c r="C38" s="127" t="s">
        <v>39</v>
      </c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9"/>
    </row>
    <row r="39" spans="1:15">
      <c r="A39" s="20" t="s">
        <v>33</v>
      </c>
      <c r="B39" s="21">
        <v>42998</v>
      </c>
      <c r="C39" s="127" t="s">
        <v>39</v>
      </c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8"/>
      <c r="O39" s="129"/>
    </row>
    <row r="40" spans="1:15">
      <c r="A40" s="20" t="s">
        <v>33</v>
      </c>
      <c r="B40" s="21">
        <v>43005</v>
      </c>
      <c r="C40" s="127" t="s">
        <v>39</v>
      </c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29"/>
    </row>
    <row r="41" spans="1:15">
      <c r="A41" s="20" t="s">
        <v>33</v>
      </c>
      <c r="B41" s="21">
        <v>43012</v>
      </c>
      <c r="C41" s="127" t="s">
        <v>39</v>
      </c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9"/>
    </row>
    <row r="42" spans="1:15">
      <c r="A42" s="20" t="s">
        <v>33</v>
      </c>
      <c r="B42" s="21">
        <v>43019</v>
      </c>
      <c r="C42" s="127" t="s">
        <v>39</v>
      </c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9"/>
    </row>
    <row r="43" spans="1:15">
      <c r="A43" s="20" t="s">
        <v>33</v>
      </c>
      <c r="B43" s="21">
        <v>43026</v>
      </c>
      <c r="C43" s="127" t="s">
        <v>39</v>
      </c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9"/>
    </row>
    <row r="44" spans="1:15">
      <c r="A44" s="20" t="s">
        <v>33</v>
      </c>
      <c r="B44" s="21">
        <v>43033</v>
      </c>
      <c r="C44" s="127" t="s">
        <v>39</v>
      </c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9"/>
    </row>
    <row r="45" spans="1:15">
      <c r="A45" s="20" t="s">
        <v>33</v>
      </c>
      <c r="B45" s="21">
        <v>43040</v>
      </c>
      <c r="C45" s="127" t="s">
        <v>39</v>
      </c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9"/>
    </row>
    <row r="46" spans="1:15">
      <c r="A46" s="20" t="s">
        <v>33</v>
      </c>
      <c r="B46" s="21">
        <v>43047</v>
      </c>
      <c r="C46" s="127" t="s">
        <v>39</v>
      </c>
      <c r="D46" s="128"/>
      <c r="E46" s="128"/>
      <c r="F46" s="128"/>
      <c r="G46" s="128"/>
      <c r="H46" s="128"/>
      <c r="I46" s="128"/>
      <c r="J46" s="128"/>
      <c r="K46" s="128"/>
      <c r="L46" s="128"/>
      <c r="M46" s="128"/>
      <c r="N46" s="128"/>
      <c r="O46" s="129"/>
    </row>
    <row r="47" spans="1:15">
      <c r="A47" s="20" t="s">
        <v>33</v>
      </c>
      <c r="B47" s="21">
        <v>43054</v>
      </c>
      <c r="C47" s="127" t="s">
        <v>39</v>
      </c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9"/>
    </row>
    <row r="48" spans="1:15">
      <c r="A48" s="20" t="s">
        <v>33</v>
      </c>
      <c r="B48" s="21">
        <v>43061</v>
      </c>
      <c r="C48" s="127" t="s">
        <v>39</v>
      </c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128"/>
      <c r="O48" s="129"/>
    </row>
    <row r="49" spans="1:15">
      <c r="A49" s="20" t="s">
        <v>33</v>
      </c>
      <c r="B49" s="21">
        <v>43068</v>
      </c>
      <c r="C49" s="127" t="s">
        <v>39</v>
      </c>
      <c r="D49" s="128"/>
      <c r="E49" s="128"/>
      <c r="F49" s="128"/>
      <c r="G49" s="128"/>
      <c r="H49" s="128"/>
      <c r="I49" s="128"/>
      <c r="J49" s="128"/>
      <c r="K49" s="128"/>
      <c r="L49" s="128"/>
      <c r="M49" s="128"/>
      <c r="N49" s="128"/>
      <c r="O49" s="129"/>
    </row>
    <row r="50" spans="1:15">
      <c r="A50" s="20" t="s">
        <v>33</v>
      </c>
      <c r="B50" s="21">
        <v>43075</v>
      </c>
      <c r="C50" s="127" t="s">
        <v>39</v>
      </c>
      <c r="D50" s="128"/>
      <c r="E50" s="128"/>
      <c r="F50" s="128"/>
      <c r="G50" s="128"/>
      <c r="H50" s="128"/>
      <c r="I50" s="128"/>
      <c r="J50" s="128"/>
      <c r="K50" s="128"/>
      <c r="L50" s="128"/>
      <c r="M50" s="128"/>
      <c r="N50" s="128"/>
      <c r="O50" s="129"/>
    </row>
    <row r="51" spans="1:15">
      <c r="A51" s="20" t="s">
        <v>33</v>
      </c>
      <c r="B51" s="21">
        <v>43082</v>
      </c>
      <c r="C51" s="127" t="s">
        <v>39</v>
      </c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8"/>
      <c r="O51" s="129"/>
    </row>
    <row r="52" spans="1:15">
      <c r="A52" s="20" t="s">
        <v>33</v>
      </c>
      <c r="B52" s="21">
        <v>43089</v>
      </c>
      <c r="C52" s="127" t="s">
        <v>39</v>
      </c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8"/>
      <c r="O52" s="129"/>
    </row>
    <row r="53" spans="1:15">
      <c r="A53" s="20" t="s">
        <v>33</v>
      </c>
      <c r="B53" s="21">
        <v>43096</v>
      </c>
      <c r="C53" s="127" t="s">
        <v>39</v>
      </c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9"/>
    </row>
  </sheetData>
  <mergeCells count="52">
    <mergeCell ref="C53:O53"/>
    <mergeCell ref="C42:O42"/>
    <mergeCell ref="C43:O43"/>
    <mergeCell ref="C44:O44"/>
    <mergeCell ref="C45:O45"/>
    <mergeCell ref="C46:O46"/>
    <mergeCell ref="C47:O47"/>
    <mergeCell ref="C48:O48"/>
    <mergeCell ref="C49:O49"/>
    <mergeCell ref="C50:O50"/>
    <mergeCell ref="C51:O51"/>
    <mergeCell ref="C52:O52"/>
    <mergeCell ref="C41:O41"/>
    <mergeCell ref="C30:O30"/>
    <mergeCell ref="C31:O31"/>
    <mergeCell ref="C32:O32"/>
    <mergeCell ref="C33:O33"/>
    <mergeCell ref="C34:O34"/>
    <mergeCell ref="C35:O35"/>
    <mergeCell ref="C36:O36"/>
    <mergeCell ref="C37:O37"/>
    <mergeCell ref="C38:O38"/>
    <mergeCell ref="C39:O39"/>
    <mergeCell ref="C40:O40"/>
    <mergeCell ref="C29:O29"/>
    <mergeCell ref="C18:O18"/>
    <mergeCell ref="C19:O19"/>
    <mergeCell ref="C20:O20"/>
    <mergeCell ref="C21:O21"/>
    <mergeCell ref="C22:O22"/>
    <mergeCell ref="C23:O23"/>
    <mergeCell ref="C24:O24"/>
    <mergeCell ref="C25:O25"/>
    <mergeCell ref="C26:O26"/>
    <mergeCell ref="C27:O27"/>
    <mergeCell ref="C28:O28"/>
    <mergeCell ref="C17:O17"/>
    <mergeCell ref="C2:O2"/>
    <mergeCell ref="C3:O3"/>
    <mergeCell ref="C4:O4"/>
    <mergeCell ref="C5:O5"/>
    <mergeCell ref="C6:O6"/>
    <mergeCell ref="C7:O7"/>
    <mergeCell ref="C8:O8"/>
    <mergeCell ref="C9:O9"/>
    <mergeCell ref="C10:O10"/>
    <mergeCell ref="C11:O11"/>
    <mergeCell ref="C12:O12"/>
    <mergeCell ref="C13:O13"/>
    <mergeCell ref="C14:O14"/>
    <mergeCell ref="C15:O15"/>
    <mergeCell ref="C16:O16"/>
  </mergeCells>
  <printOptions horizontalCentered="1"/>
  <pageMargins left="0.25" right="0.25" top="1.0833333333333299" bottom="0.75" header="0.3" footer="0.3"/>
  <pageSetup orientation="portrait" r:id="rId1"/>
  <headerFooter alignWithMargins="0">
    <oddHeader>&amp;LBarrick Gold Inc. - Nickel Plate Mine&amp;C&amp;"-,Regular"&amp;18
Table 4 - BAEWATER Data&amp;RAnnual Report, 2017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23"/>
  <sheetViews>
    <sheetView view="pageLayout" zoomScaleNormal="100" workbookViewId="0">
      <selection activeCell="B33" sqref="B33"/>
    </sheetView>
  </sheetViews>
  <sheetFormatPr defaultColWidth="9.1328125" defaultRowHeight="15.75"/>
  <cols>
    <col min="1" max="1" width="11" style="19" bestFit="1" customWidth="1"/>
    <col min="2" max="2" width="11" style="23" bestFit="1" customWidth="1"/>
    <col min="3" max="3" width="8.59765625" style="19" bestFit="1" customWidth="1"/>
    <col min="4" max="4" width="9.73046875" style="19" bestFit="1" customWidth="1"/>
    <col min="5" max="5" width="5.73046875" style="19" bestFit="1" customWidth="1"/>
    <col min="6" max="6" width="9.1328125" style="19" bestFit="1" customWidth="1"/>
    <col min="7" max="7" width="8" style="19" bestFit="1" customWidth="1"/>
    <col min="8" max="8" width="9.73046875" style="19" bestFit="1" customWidth="1"/>
    <col min="9" max="12" width="8" style="19" bestFit="1" customWidth="1"/>
    <col min="13" max="13" width="11.3984375" style="19" bestFit="1" customWidth="1"/>
    <col min="14" max="14" width="9.1328125" style="19" bestFit="1" customWidth="1"/>
    <col min="15" max="15" width="8" style="19" bestFit="1" customWidth="1"/>
    <col min="16" max="16384" width="9.1328125" style="19"/>
  </cols>
  <sheetData>
    <row r="1" spans="1:15" ht="132">
      <c r="A1" s="1" t="s">
        <v>45</v>
      </c>
      <c r="B1" s="2" t="s">
        <v>46</v>
      </c>
      <c r="C1" s="5" t="s">
        <v>51</v>
      </c>
      <c r="D1" s="33" t="s">
        <v>0</v>
      </c>
      <c r="E1" s="4" t="s">
        <v>52</v>
      </c>
      <c r="F1" s="32" t="s">
        <v>56</v>
      </c>
      <c r="G1" s="7" t="s">
        <v>57</v>
      </c>
      <c r="H1" s="5" t="s">
        <v>59</v>
      </c>
      <c r="I1" s="7" t="s">
        <v>105</v>
      </c>
      <c r="J1" s="7" t="s">
        <v>60</v>
      </c>
      <c r="K1" s="7" t="s">
        <v>61</v>
      </c>
      <c r="L1" s="4" t="s">
        <v>62</v>
      </c>
      <c r="M1" s="9" t="s">
        <v>85</v>
      </c>
      <c r="N1" s="10" t="s">
        <v>86</v>
      </c>
      <c r="O1" s="7" t="s">
        <v>87</v>
      </c>
    </row>
    <row r="2" spans="1:15">
      <c r="A2" s="20" t="s">
        <v>9</v>
      </c>
      <c r="B2" s="21">
        <v>42740.5</v>
      </c>
      <c r="C2" s="22">
        <v>4390</v>
      </c>
      <c r="D2" s="22">
        <v>1360</v>
      </c>
      <c r="E2" s="22">
        <v>7.66</v>
      </c>
      <c r="F2" s="22">
        <v>40.9</v>
      </c>
      <c r="G2" s="22">
        <v>0.26</v>
      </c>
      <c r="H2" s="22">
        <v>1830</v>
      </c>
      <c r="I2" s="72">
        <f>K2-J2</f>
        <v>0.75800000000000001</v>
      </c>
      <c r="J2" s="24">
        <f>0.5* 0.05</f>
        <v>2.5000000000000001E-2</v>
      </c>
      <c r="K2" s="22">
        <v>0.78300000000000003</v>
      </c>
      <c r="L2" s="22">
        <v>623</v>
      </c>
      <c r="M2" s="22">
        <v>1.57</v>
      </c>
      <c r="N2" s="22">
        <v>3.6999999999999999E-4</v>
      </c>
      <c r="O2" s="22">
        <v>1.5699999999999999E-2</v>
      </c>
    </row>
    <row r="3" spans="1:15">
      <c r="A3" s="20" t="s">
        <v>9</v>
      </c>
      <c r="B3" s="21">
        <v>42774.5</v>
      </c>
      <c r="C3" s="22">
        <v>2330</v>
      </c>
      <c r="D3" s="22">
        <v>824</v>
      </c>
      <c r="E3" s="22">
        <v>7.95</v>
      </c>
      <c r="F3" s="22">
        <v>15</v>
      </c>
      <c r="G3" s="22">
        <v>1.78</v>
      </c>
      <c r="H3" s="22">
        <v>914</v>
      </c>
      <c r="I3" s="72">
        <f t="shared" ref="I3:I13" si="0">K3-J3</f>
        <v>0.40699999999999997</v>
      </c>
      <c r="J3" s="24">
        <f>0.5* 0.05</f>
        <v>2.5000000000000001E-2</v>
      </c>
      <c r="K3" s="22">
        <v>0.432</v>
      </c>
      <c r="L3" s="22">
        <v>233</v>
      </c>
      <c r="M3" s="22">
        <v>0.56899999999999995</v>
      </c>
      <c r="N3" s="22">
        <v>1.09E-3</v>
      </c>
      <c r="O3" s="22">
        <v>8.8000000000000005E-3</v>
      </c>
    </row>
    <row r="4" spans="1:15">
      <c r="A4" s="20" t="s">
        <v>9</v>
      </c>
      <c r="B4" s="21">
        <v>42801.5</v>
      </c>
      <c r="C4" s="22">
        <v>3900</v>
      </c>
      <c r="D4" s="22">
        <v>1410</v>
      </c>
      <c r="E4" s="22">
        <v>7.79</v>
      </c>
      <c r="F4" s="22">
        <v>36.9</v>
      </c>
      <c r="G4" s="22">
        <v>0.34</v>
      </c>
      <c r="H4" s="22">
        <v>1440</v>
      </c>
      <c r="I4" s="72">
        <f t="shared" si="0"/>
        <v>0.63100000000000001</v>
      </c>
      <c r="J4" s="24">
        <f>0.5* 0.05</f>
        <v>2.5000000000000001E-2</v>
      </c>
      <c r="K4" s="22">
        <v>0.65600000000000003</v>
      </c>
      <c r="L4" s="22">
        <v>477</v>
      </c>
      <c r="M4" s="22">
        <v>1.28</v>
      </c>
      <c r="N4" s="22">
        <v>6.7000000000000002E-4</v>
      </c>
      <c r="O4" s="24">
        <f>0.5* 0.03</f>
        <v>1.4999999999999999E-2</v>
      </c>
    </row>
    <row r="5" spans="1:15">
      <c r="A5" s="20" t="s">
        <v>9</v>
      </c>
      <c r="B5" s="21">
        <v>42851.5</v>
      </c>
      <c r="C5" s="22">
        <v>2700</v>
      </c>
      <c r="D5" s="22">
        <v>1040</v>
      </c>
      <c r="E5" s="22">
        <v>8.16</v>
      </c>
      <c r="F5" s="22">
        <v>11.4</v>
      </c>
      <c r="G5" s="22">
        <v>4.28</v>
      </c>
      <c r="H5" s="22">
        <v>1230</v>
      </c>
      <c r="I5" s="72">
        <f t="shared" si="0"/>
        <v>0.36499999999999999</v>
      </c>
      <c r="J5" s="24">
        <f>0.5* 0.05</f>
        <v>2.5000000000000001E-2</v>
      </c>
      <c r="K5" s="22">
        <v>0.39</v>
      </c>
      <c r="L5" s="22">
        <v>115</v>
      </c>
      <c r="M5" s="22">
        <v>0.60599999999999998</v>
      </c>
      <c r="N5" s="22">
        <v>5.5900000000000004E-3</v>
      </c>
      <c r="O5" s="22">
        <v>2.3E-2</v>
      </c>
    </row>
    <row r="6" spans="1:15">
      <c r="A6" s="20" t="s">
        <v>9</v>
      </c>
      <c r="B6" s="21">
        <v>42879</v>
      </c>
      <c r="C6" s="22">
        <v>2940</v>
      </c>
      <c r="D6" s="22">
        <v>1120</v>
      </c>
      <c r="E6" s="22">
        <v>7.6</v>
      </c>
      <c r="F6" s="22">
        <v>17.8</v>
      </c>
      <c r="G6" s="22">
        <v>3.2</v>
      </c>
      <c r="H6" s="22">
        <v>1330</v>
      </c>
      <c r="I6" s="72">
        <f t="shared" si="0"/>
        <v>0.36399999999999999</v>
      </c>
      <c r="J6" s="22">
        <v>8.5999999999999993E-2</v>
      </c>
      <c r="K6" s="22">
        <v>0.45</v>
      </c>
      <c r="L6" s="22">
        <v>155</v>
      </c>
      <c r="M6" s="22">
        <v>0.67900000000000005</v>
      </c>
      <c r="N6" s="22">
        <v>2.8600000000000001E-3</v>
      </c>
      <c r="O6" s="24">
        <f>0.5* 0.02</f>
        <v>0.01</v>
      </c>
    </row>
    <row r="7" spans="1:15">
      <c r="A7" s="20" t="s">
        <v>9</v>
      </c>
      <c r="B7" s="21">
        <v>42907.5</v>
      </c>
      <c r="C7" s="22">
        <v>3210</v>
      </c>
      <c r="D7" s="22">
        <v>1190</v>
      </c>
      <c r="E7" s="22">
        <v>7.75</v>
      </c>
      <c r="F7" s="22">
        <v>25.1</v>
      </c>
      <c r="G7" s="22">
        <v>1.1299999999999999</v>
      </c>
      <c r="H7" s="22">
        <v>1530</v>
      </c>
      <c r="I7" s="72">
        <f t="shared" si="0"/>
        <v>0.50600000000000001</v>
      </c>
      <c r="J7" s="24">
        <f>0.5* 0.05</f>
        <v>2.5000000000000001E-2</v>
      </c>
      <c r="K7" s="22">
        <v>0.53100000000000003</v>
      </c>
      <c r="L7" s="22">
        <v>280</v>
      </c>
      <c r="M7" s="22">
        <v>0.91900000000000004</v>
      </c>
      <c r="N7" s="22">
        <v>3.0000000000000001E-3</v>
      </c>
      <c r="O7" s="22">
        <v>2.1000000000000001E-2</v>
      </c>
    </row>
    <row r="8" spans="1:15">
      <c r="A8" s="20" t="s">
        <v>9</v>
      </c>
      <c r="B8" s="21">
        <v>42942.5</v>
      </c>
      <c r="C8" s="22">
        <v>3800</v>
      </c>
      <c r="D8" s="22">
        <v>1500</v>
      </c>
      <c r="E8" s="22">
        <v>7.92</v>
      </c>
      <c r="F8" s="22">
        <v>37.5</v>
      </c>
      <c r="G8" s="22">
        <v>0.15</v>
      </c>
      <c r="H8" s="22">
        <v>1620</v>
      </c>
      <c r="I8" s="72">
        <f t="shared" si="0"/>
        <v>0.66699999999999993</v>
      </c>
      <c r="J8" s="24">
        <f>0.5* 0.05</f>
        <v>2.5000000000000001E-2</v>
      </c>
      <c r="K8" s="22">
        <v>0.69199999999999995</v>
      </c>
      <c r="L8" s="22">
        <v>516</v>
      </c>
      <c r="M8" s="22">
        <v>1.32</v>
      </c>
      <c r="N8" s="24">
        <f>0.5* 0.001</f>
        <v>5.0000000000000001E-4</v>
      </c>
      <c r="O8" s="24">
        <f>0.5* 0.05</f>
        <v>2.5000000000000001E-2</v>
      </c>
    </row>
    <row r="9" spans="1:15">
      <c r="A9" s="20" t="s">
        <v>9</v>
      </c>
      <c r="B9" s="21">
        <v>42970.5</v>
      </c>
      <c r="C9" s="22">
        <v>4230</v>
      </c>
      <c r="D9" s="22">
        <v>1450</v>
      </c>
      <c r="E9" s="22">
        <v>7.72</v>
      </c>
      <c r="F9" s="22">
        <v>39.1</v>
      </c>
      <c r="G9" s="22">
        <v>0.28000000000000003</v>
      </c>
      <c r="H9" s="22">
        <v>1730</v>
      </c>
      <c r="I9" s="72">
        <f t="shared" si="0"/>
        <v>0.52800000000000002</v>
      </c>
      <c r="J9" s="24">
        <f>0.5* 0.05</f>
        <v>2.5000000000000001E-2</v>
      </c>
      <c r="K9" s="22">
        <v>0.55300000000000005</v>
      </c>
      <c r="L9" s="22">
        <v>547</v>
      </c>
      <c r="M9" s="22">
        <v>1.45</v>
      </c>
      <c r="N9" s="22">
        <v>5.9999999999999995E-4</v>
      </c>
      <c r="O9" s="24">
        <f>0.5* 0.02</f>
        <v>0.01</v>
      </c>
    </row>
    <row r="10" spans="1:15">
      <c r="A10" s="20" t="s">
        <v>9</v>
      </c>
      <c r="B10" s="21">
        <v>42998.5</v>
      </c>
      <c r="C10" s="22">
        <v>3610</v>
      </c>
      <c r="D10" s="22">
        <v>1370</v>
      </c>
      <c r="E10" s="22">
        <v>7.91</v>
      </c>
      <c r="F10" s="22">
        <v>36.799999999999997</v>
      </c>
      <c r="G10" s="22">
        <v>0.28000000000000003</v>
      </c>
      <c r="H10" s="22">
        <v>1760</v>
      </c>
      <c r="I10" s="72">
        <f t="shared" si="0"/>
        <v>0.55499999999999994</v>
      </c>
      <c r="J10" s="24">
        <f>0.5* 0.05</f>
        <v>2.5000000000000001E-2</v>
      </c>
      <c r="K10" s="22">
        <v>0.57999999999999996</v>
      </c>
      <c r="L10" s="22">
        <v>493</v>
      </c>
      <c r="M10" s="22">
        <v>1.34</v>
      </c>
      <c r="N10" s="22">
        <v>8.3000000000000001E-4</v>
      </c>
      <c r="O10" s="22">
        <v>2.1000000000000001E-2</v>
      </c>
    </row>
    <row r="11" spans="1:15">
      <c r="A11" s="20" t="s">
        <v>9</v>
      </c>
      <c r="B11" s="21">
        <v>43033</v>
      </c>
      <c r="C11" s="22">
        <v>4250</v>
      </c>
      <c r="D11" s="22">
        <v>1420</v>
      </c>
      <c r="E11" s="22">
        <v>7.7</v>
      </c>
      <c r="F11" s="22">
        <v>41.4</v>
      </c>
      <c r="G11" s="22">
        <v>0.81</v>
      </c>
      <c r="H11" s="22">
        <v>1920</v>
      </c>
      <c r="I11" s="72">
        <f t="shared" si="0"/>
        <v>0.69599999999999995</v>
      </c>
      <c r="J11" s="24">
        <f>0.5* 0.05</f>
        <v>2.5000000000000001E-2</v>
      </c>
      <c r="K11" s="22">
        <v>0.72099999999999997</v>
      </c>
      <c r="L11" s="22">
        <v>562</v>
      </c>
      <c r="M11" s="22">
        <v>1.74</v>
      </c>
      <c r="N11" s="24">
        <f>0.5* 0.001</f>
        <v>5.0000000000000001E-4</v>
      </c>
      <c r="O11" s="24">
        <f>0.5* 0.05</f>
        <v>2.5000000000000001E-2</v>
      </c>
    </row>
    <row r="12" spans="1:15">
      <c r="A12" s="20" t="s">
        <v>9</v>
      </c>
      <c r="B12" s="21">
        <v>43061</v>
      </c>
      <c r="C12" s="22">
        <v>4240</v>
      </c>
      <c r="D12" s="22">
        <v>1710</v>
      </c>
      <c r="E12" s="22">
        <v>7.89</v>
      </c>
      <c r="F12" s="22">
        <v>37.4</v>
      </c>
      <c r="G12" s="22">
        <v>0.71</v>
      </c>
      <c r="H12" s="22">
        <v>1840</v>
      </c>
      <c r="I12" s="72">
        <f t="shared" si="0"/>
        <v>0.45650000000000002</v>
      </c>
      <c r="J12" s="22">
        <v>7.4999999999999997E-3</v>
      </c>
      <c r="K12" s="22">
        <v>0.46400000000000002</v>
      </c>
      <c r="L12" s="22">
        <v>513</v>
      </c>
      <c r="M12" s="22">
        <v>1.52</v>
      </c>
      <c r="N12" s="22">
        <v>5.5000000000000003E-4</v>
      </c>
      <c r="O12" s="24">
        <f>0.5* 0.02</f>
        <v>0.01</v>
      </c>
    </row>
    <row r="13" spans="1:15">
      <c r="A13" s="20" t="s">
        <v>9</v>
      </c>
      <c r="B13" s="21">
        <v>43089</v>
      </c>
      <c r="C13" s="22">
        <v>1304</v>
      </c>
      <c r="D13" s="22">
        <v>1510</v>
      </c>
      <c r="E13" s="22">
        <v>7.95</v>
      </c>
      <c r="F13" s="22">
        <v>40.299999999999997</v>
      </c>
      <c r="G13" s="22">
        <v>0.66</v>
      </c>
      <c r="H13" s="22">
        <v>1830</v>
      </c>
      <c r="I13" s="72">
        <f t="shared" si="0"/>
        <v>0.38290000000000002</v>
      </c>
      <c r="J13" s="22">
        <v>1.3100000000000001E-2</v>
      </c>
      <c r="K13" s="22">
        <v>0.39600000000000002</v>
      </c>
      <c r="L13" s="22">
        <v>458</v>
      </c>
      <c r="M13" s="22">
        <v>1.36</v>
      </c>
      <c r="N13" s="24">
        <f>0.5* 0.001</f>
        <v>5.0000000000000001E-4</v>
      </c>
      <c r="O13" s="24">
        <f>0.5* 0.05</f>
        <v>2.5000000000000001E-2</v>
      </c>
    </row>
    <row r="14" spans="1:15">
      <c r="A14" s="14"/>
      <c r="B14" s="15" t="s">
        <v>100</v>
      </c>
      <c r="C14" s="29">
        <f t="shared" ref="C14:O14" si="1">MIN(C2:C13)</f>
        <v>1304</v>
      </c>
      <c r="D14" s="30">
        <f t="shared" si="1"/>
        <v>824</v>
      </c>
      <c r="E14" s="30">
        <f t="shared" si="1"/>
        <v>7.6</v>
      </c>
      <c r="F14" s="31">
        <f t="shared" si="1"/>
        <v>11.4</v>
      </c>
      <c r="G14" s="31">
        <f t="shared" si="1"/>
        <v>0.15</v>
      </c>
      <c r="H14" s="30">
        <f t="shared" si="1"/>
        <v>914</v>
      </c>
      <c r="I14" s="31">
        <f t="shared" si="1"/>
        <v>0.36399999999999999</v>
      </c>
      <c r="J14" s="31">
        <f t="shared" si="1"/>
        <v>7.4999999999999997E-3</v>
      </c>
      <c r="K14" s="31">
        <f t="shared" si="1"/>
        <v>0.39</v>
      </c>
      <c r="L14" s="30">
        <f t="shared" si="1"/>
        <v>115</v>
      </c>
      <c r="M14" s="40">
        <f t="shared" si="1"/>
        <v>0.56899999999999995</v>
      </c>
      <c r="N14" s="38">
        <f t="shared" si="1"/>
        <v>3.6999999999999999E-4</v>
      </c>
      <c r="O14" s="31">
        <f t="shared" si="1"/>
        <v>8.8000000000000005E-3</v>
      </c>
    </row>
    <row r="15" spans="1:15">
      <c r="A15" s="14"/>
      <c r="B15" s="15" t="s">
        <v>101</v>
      </c>
      <c r="C15" s="29">
        <f t="shared" ref="C15:O15" si="2">MAX(C2:C13)</f>
        <v>4390</v>
      </c>
      <c r="D15" s="30">
        <f t="shared" si="2"/>
        <v>1710</v>
      </c>
      <c r="E15" s="30">
        <f t="shared" si="2"/>
        <v>8.16</v>
      </c>
      <c r="F15" s="31">
        <f t="shared" si="2"/>
        <v>41.4</v>
      </c>
      <c r="G15" s="31">
        <f t="shared" si="2"/>
        <v>4.28</v>
      </c>
      <c r="H15" s="30">
        <f t="shared" si="2"/>
        <v>1920</v>
      </c>
      <c r="I15" s="31">
        <f t="shared" si="2"/>
        <v>0.75800000000000001</v>
      </c>
      <c r="J15" s="31">
        <f t="shared" si="2"/>
        <v>8.5999999999999993E-2</v>
      </c>
      <c r="K15" s="31">
        <f t="shared" si="2"/>
        <v>0.78300000000000003</v>
      </c>
      <c r="L15" s="30">
        <f t="shared" si="2"/>
        <v>623</v>
      </c>
      <c r="M15" s="40">
        <f t="shared" si="2"/>
        <v>1.74</v>
      </c>
      <c r="N15" s="38">
        <f t="shared" si="2"/>
        <v>5.5900000000000004E-3</v>
      </c>
      <c r="O15" s="31">
        <f t="shared" si="2"/>
        <v>2.5000000000000001E-2</v>
      </c>
    </row>
    <row r="16" spans="1:15">
      <c r="A16" s="14"/>
      <c r="B16" s="15" t="s">
        <v>102</v>
      </c>
      <c r="C16" s="29">
        <f t="shared" ref="C16:O16" si="3">AVERAGE(C2:C13)</f>
        <v>3408.6666666666665</v>
      </c>
      <c r="D16" s="30">
        <f t="shared" si="3"/>
        <v>1325.3333333333333</v>
      </c>
      <c r="E16" s="30">
        <f t="shared" si="3"/>
        <v>7.833333333333333</v>
      </c>
      <c r="F16" s="31">
        <f t="shared" si="3"/>
        <v>31.633333333333329</v>
      </c>
      <c r="G16" s="31">
        <f t="shared" si="3"/>
        <v>1.1566666666666665</v>
      </c>
      <c r="H16" s="30">
        <f t="shared" si="3"/>
        <v>1581.1666666666667</v>
      </c>
      <c r="I16" s="31">
        <f t="shared" si="3"/>
        <v>0.52636666666666654</v>
      </c>
      <c r="J16" s="31">
        <f t="shared" si="3"/>
        <v>2.763333333333334E-2</v>
      </c>
      <c r="K16" s="31">
        <f t="shared" si="3"/>
        <v>0.55400000000000005</v>
      </c>
      <c r="L16" s="30">
        <f t="shared" si="3"/>
        <v>414.33333333333331</v>
      </c>
      <c r="M16" s="40">
        <f t="shared" si="3"/>
        <v>1.1960833333333334</v>
      </c>
      <c r="N16" s="38">
        <f t="shared" si="3"/>
        <v>1.4216666666666668E-3</v>
      </c>
      <c r="O16" s="31">
        <f t="shared" si="3"/>
        <v>1.7458333333333333E-2</v>
      </c>
    </row>
    <row r="17" spans="1:15">
      <c r="A17" s="14"/>
      <c r="B17" s="15" t="s">
        <v>103</v>
      </c>
      <c r="C17" s="29">
        <f t="shared" ref="C17:O17" si="4">_xlfn.STDEV.P(C2:C13)</f>
        <v>904.89938053293463</v>
      </c>
      <c r="D17" s="30">
        <f t="shared" si="4"/>
        <v>231.06180029497639</v>
      </c>
      <c r="E17" s="30">
        <f t="shared" si="4"/>
        <v>0.15123565129367561</v>
      </c>
      <c r="F17" s="31">
        <f t="shared" si="4"/>
        <v>10.623584873081018</v>
      </c>
      <c r="G17" s="31">
        <f t="shared" si="4"/>
        <v>1.2552379145891917</v>
      </c>
      <c r="H17" s="30">
        <f t="shared" si="4"/>
        <v>290.88079841902402</v>
      </c>
      <c r="I17" s="31">
        <f t="shared" si="4"/>
        <v>0.13118283890136798</v>
      </c>
      <c r="J17" s="31">
        <f t="shared" si="4"/>
        <v>1.8451844231825599E-2</v>
      </c>
      <c r="K17" s="31">
        <f t="shared" si="4"/>
        <v>0.12801171821360721</v>
      </c>
      <c r="L17" s="30">
        <f t="shared" si="4"/>
        <v>164.01795294689202</v>
      </c>
      <c r="M17" s="40">
        <f t="shared" si="4"/>
        <v>0.38303773929238638</v>
      </c>
      <c r="N17" s="38">
        <f t="shared" si="4"/>
        <v>1.5288712248656593E-3</v>
      </c>
      <c r="O17" s="31">
        <f t="shared" si="4"/>
        <v>6.3074636124374308E-3</v>
      </c>
    </row>
    <row r="18" spans="1:15" ht="12.75" customHeight="1">
      <c r="A18" s="17"/>
      <c r="B18" s="131" t="s">
        <v>112</v>
      </c>
      <c r="C18" s="130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</row>
    <row r="19" spans="1:15" ht="12.75" customHeight="1">
      <c r="A19" s="17"/>
      <c r="B19" s="130" t="s">
        <v>117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</row>
    <row r="20" spans="1:15" ht="12.75" customHeight="1">
      <c r="A20" s="17"/>
      <c r="B20" s="130" t="s">
        <v>114</v>
      </c>
      <c r="C20" s="130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</row>
    <row r="21" spans="1:15" ht="12.75" customHeight="1">
      <c r="A21" s="17"/>
      <c r="B21" s="130" t="s">
        <v>108</v>
      </c>
      <c r="C21" s="130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</row>
    <row r="22" spans="1:15" ht="12.75" customHeight="1">
      <c r="A22" s="18"/>
      <c r="B22" s="130" t="s">
        <v>115</v>
      </c>
      <c r="C22" s="130"/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</row>
    <row r="23" spans="1:15" ht="12.75" customHeight="1"/>
  </sheetData>
  <mergeCells count="5">
    <mergeCell ref="B18:O18"/>
    <mergeCell ref="B19:O19"/>
    <mergeCell ref="B20:O20"/>
    <mergeCell ref="B21:O21"/>
    <mergeCell ref="B22:O22"/>
  </mergeCells>
  <printOptions horizontalCentered="1"/>
  <pageMargins left="0.25" right="0.25" top="1.0833333333333299" bottom="0.75" header="0.3" footer="0.3"/>
  <pageSetup orientation="landscape" r:id="rId1"/>
  <headerFooter alignWithMargins="0">
    <oddHeader>&amp;LBarrick Gold Inc. - Nickel Plate Mine&amp;C&amp;"-,Regular"&amp;18
Table 13 - EASTSUMP Data&amp;RAnnual Report, 2017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N23"/>
  <sheetViews>
    <sheetView topLeftCell="C2" zoomScaleNormal="100" workbookViewId="0">
      <selection activeCell="B33" sqref="B33"/>
    </sheetView>
  </sheetViews>
  <sheetFormatPr defaultColWidth="9.1328125" defaultRowHeight="15.75"/>
  <cols>
    <col min="1" max="1" width="22.59765625" style="19" bestFit="1" customWidth="1"/>
    <col min="2" max="2" width="10.1328125" style="23" bestFit="1" customWidth="1"/>
    <col min="3" max="3" width="5.73046875" style="19" bestFit="1" customWidth="1"/>
    <col min="4" max="5" width="6.86328125" style="19" bestFit="1" customWidth="1"/>
    <col min="6" max="7" width="5.73046875" style="19" bestFit="1" customWidth="1"/>
    <col min="8" max="8" width="5.1328125" style="19" bestFit="1" customWidth="1"/>
    <col min="9" max="9" width="5.73046875" style="19" bestFit="1" customWidth="1"/>
    <col min="10" max="11" width="8.1328125" style="19" bestFit="1" customWidth="1"/>
    <col min="12" max="12" width="6.86328125" style="19" bestFit="1" customWidth="1"/>
    <col min="13" max="13" width="4.265625" style="74" bestFit="1" customWidth="1"/>
    <col min="14" max="15" width="8.1328125" style="19" bestFit="1" customWidth="1"/>
    <col min="16" max="16" width="5.86328125" style="19" bestFit="1" customWidth="1"/>
    <col min="17" max="17" width="5.73046875" style="19" bestFit="1" customWidth="1"/>
    <col min="18" max="18" width="10.1328125" style="19" bestFit="1" customWidth="1"/>
    <col min="19" max="19" width="8.1328125" style="19" bestFit="1" customWidth="1"/>
    <col min="20" max="20" width="9.265625" style="19" bestFit="1" customWidth="1"/>
    <col min="21" max="21" width="11.265625" style="19" bestFit="1" customWidth="1"/>
    <col min="22" max="22" width="9.265625" style="19" bestFit="1" customWidth="1"/>
    <col min="23" max="23" width="8" style="19" bestFit="1" customWidth="1"/>
    <col min="24" max="24" width="10.3984375" style="19" bestFit="1" customWidth="1"/>
    <col min="25" max="25" width="10.265625" style="19" bestFit="1" customWidth="1"/>
    <col min="26" max="26" width="11.59765625" style="19" bestFit="1" customWidth="1"/>
    <col min="27" max="29" width="10.265625" style="19" bestFit="1" customWidth="1"/>
    <col min="30" max="30" width="11.59765625" style="19" bestFit="1" customWidth="1"/>
    <col min="31" max="31" width="10.265625" style="19" bestFit="1" customWidth="1"/>
    <col min="32" max="32" width="9" style="19" bestFit="1" customWidth="1"/>
    <col min="33" max="33" width="9.1328125" style="19" bestFit="1" customWidth="1"/>
    <col min="34" max="34" width="10.1328125" style="19" bestFit="1" customWidth="1"/>
    <col min="35" max="35" width="11.59765625" style="19" bestFit="1" customWidth="1"/>
    <col min="36" max="36" width="11.265625" style="19" bestFit="1" customWidth="1"/>
    <col min="37" max="37" width="9.1328125" style="19" bestFit="1" customWidth="1"/>
    <col min="38" max="38" width="5.73046875" style="19" bestFit="1" customWidth="1"/>
    <col min="39" max="39" width="9.265625" style="19" bestFit="1" customWidth="1"/>
    <col min="40" max="40" width="6.86328125" style="19" bestFit="1" customWidth="1"/>
    <col min="41" max="16384" width="9.1328125" style="19"/>
  </cols>
  <sheetData>
    <row r="1" spans="1:40" ht="132">
      <c r="A1" s="1" t="s">
        <v>45</v>
      </c>
      <c r="B1" s="2" t="s">
        <v>46</v>
      </c>
      <c r="C1" s="5" t="s">
        <v>50</v>
      </c>
      <c r="D1" s="5" t="s">
        <v>51</v>
      </c>
      <c r="E1" s="33" t="s">
        <v>0</v>
      </c>
      <c r="F1" s="4" t="s">
        <v>52</v>
      </c>
      <c r="G1" s="33" t="s">
        <v>53</v>
      </c>
      <c r="H1" s="33" t="s">
        <v>54</v>
      </c>
      <c r="I1" s="5" t="s">
        <v>55</v>
      </c>
      <c r="J1" s="7" t="s">
        <v>57</v>
      </c>
      <c r="K1" s="7" t="s">
        <v>58</v>
      </c>
      <c r="L1" s="5" t="s">
        <v>59</v>
      </c>
      <c r="M1" s="73" t="s">
        <v>105</v>
      </c>
      <c r="N1" s="7" t="s">
        <v>60</v>
      </c>
      <c r="O1" s="7" t="s">
        <v>61</v>
      </c>
      <c r="P1" s="4" t="s">
        <v>62</v>
      </c>
      <c r="Q1" s="7" t="s">
        <v>63</v>
      </c>
      <c r="R1" s="8" t="s">
        <v>65</v>
      </c>
      <c r="S1" s="7" t="s">
        <v>66</v>
      </c>
      <c r="T1" s="7" t="s">
        <v>68</v>
      </c>
      <c r="U1" s="9" t="s">
        <v>69</v>
      </c>
      <c r="V1" s="10" t="s">
        <v>70</v>
      </c>
      <c r="W1" s="7" t="s">
        <v>71</v>
      </c>
      <c r="X1" s="8" t="s">
        <v>72</v>
      </c>
      <c r="Y1" s="10" t="s">
        <v>73</v>
      </c>
      <c r="Z1" s="11" t="s">
        <v>74</v>
      </c>
      <c r="AA1" s="8" t="s">
        <v>75</v>
      </c>
      <c r="AB1" s="8" t="s">
        <v>76</v>
      </c>
      <c r="AC1" s="10" t="s">
        <v>77</v>
      </c>
      <c r="AD1" s="8" t="s">
        <v>78</v>
      </c>
      <c r="AE1" s="8" t="s">
        <v>79</v>
      </c>
      <c r="AF1" s="10" t="s">
        <v>80</v>
      </c>
      <c r="AG1" s="10" t="s">
        <v>81</v>
      </c>
      <c r="AH1" s="10" t="s">
        <v>82</v>
      </c>
      <c r="AI1" s="9" t="s">
        <v>83</v>
      </c>
      <c r="AJ1" s="9" t="s">
        <v>85</v>
      </c>
      <c r="AK1" s="10" t="s">
        <v>86</v>
      </c>
      <c r="AL1" s="33" t="s">
        <v>94</v>
      </c>
      <c r="AM1" s="10" t="s">
        <v>95</v>
      </c>
      <c r="AN1" s="32" t="s">
        <v>107</v>
      </c>
    </row>
    <row r="2" spans="1:40">
      <c r="A2" s="20" t="s">
        <v>10</v>
      </c>
      <c r="B2" s="21">
        <v>42740.5</v>
      </c>
      <c r="C2" s="27">
        <v>-0.7</v>
      </c>
      <c r="D2" s="22">
        <v>63.4</v>
      </c>
      <c r="E2" s="22">
        <v>20.9</v>
      </c>
      <c r="F2" s="22">
        <v>7.6</v>
      </c>
      <c r="G2" s="24">
        <f>0.5* 3</f>
        <v>1.5</v>
      </c>
      <c r="H2" s="22">
        <v>64</v>
      </c>
      <c r="I2" s="22">
        <v>0.27</v>
      </c>
      <c r="J2" s="22">
        <v>5.6399999999999999E-2</v>
      </c>
      <c r="K2" s="25" t="s">
        <v>96</v>
      </c>
      <c r="L2" s="22">
        <v>2.4700000000000002</v>
      </c>
      <c r="M2" s="47">
        <f>O2-N2</f>
        <v>0</v>
      </c>
      <c r="N2" s="24">
        <f t="shared" ref="N2:O13" si="0">0.5* 0.005</f>
        <v>2.5000000000000001E-3</v>
      </c>
      <c r="O2" s="24">
        <f t="shared" si="0"/>
        <v>2.5000000000000001E-3</v>
      </c>
      <c r="P2" s="24">
        <f>0.5* 0.5</f>
        <v>0.25</v>
      </c>
      <c r="Q2" s="75">
        <f>M2+P2</f>
        <v>0.25</v>
      </c>
      <c r="R2" s="22">
        <v>2.4899999999999998E-4</v>
      </c>
      <c r="S2" s="24">
        <f>0.5* 0.005</f>
        <v>2.5000000000000001E-3</v>
      </c>
      <c r="T2" s="24">
        <f>0.5* 0.0001</f>
        <v>5.0000000000000002E-5</v>
      </c>
      <c r="U2" s="22">
        <v>1.9599999999999999E-5</v>
      </c>
      <c r="V2" s="22">
        <v>3.2000000000000003E-4</v>
      </c>
      <c r="W2" s="22">
        <v>5.1900000000000002E-2</v>
      </c>
      <c r="X2" s="22">
        <v>1.1E-5</v>
      </c>
      <c r="Y2" s="22">
        <v>7.2400000000000003E-4</v>
      </c>
      <c r="Z2" s="24">
        <f t="shared" ref="Z2:Z13" si="1">0.5* 0.000005</f>
        <v>2.5000000000000002E-6</v>
      </c>
      <c r="AA2" s="22">
        <v>9.5200000000000005E-4</v>
      </c>
      <c r="AB2" s="22">
        <v>6.0000000000000002E-5</v>
      </c>
      <c r="AC2" s="22">
        <v>8.8999999999999995E-5</v>
      </c>
      <c r="AD2" s="24">
        <f>0.5* 0.000005</f>
        <v>2.5000000000000002E-6</v>
      </c>
      <c r="AE2" s="22">
        <v>5.7499999999999999E-4</v>
      </c>
      <c r="AF2" s="22">
        <v>1.5299999999999999E-3</v>
      </c>
      <c r="AG2" s="22">
        <v>2.1499999999999998E-2</v>
      </c>
      <c r="AH2" s="22">
        <v>3.0800000000000001E-4</v>
      </c>
      <c r="AI2" s="24">
        <f t="shared" ref="AI2:AI13" si="2">0.5* 0.000005</f>
        <v>2.5000000000000002E-6</v>
      </c>
      <c r="AJ2" s="22">
        <v>1.9700000000000001E-5</v>
      </c>
      <c r="AK2" s="22">
        <v>3.6999999999999999E-4</v>
      </c>
      <c r="AL2" s="22">
        <v>2.48</v>
      </c>
      <c r="AM2" s="22">
        <v>1.75E-3</v>
      </c>
      <c r="AN2" s="22">
        <v>0.13100000000000001</v>
      </c>
    </row>
    <row r="3" spans="1:40">
      <c r="A3" s="20" t="s">
        <v>10</v>
      </c>
      <c r="B3" s="21">
        <v>42774.5</v>
      </c>
      <c r="C3" s="27">
        <v>-0.7</v>
      </c>
      <c r="D3" s="22">
        <v>67.8</v>
      </c>
      <c r="E3" s="22">
        <v>24.6</v>
      </c>
      <c r="F3" s="22">
        <v>7.65</v>
      </c>
      <c r="G3" s="24">
        <f>0.5* 3</f>
        <v>1.5</v>
      </c>
      <c r="H3" s="22">
        <v>46</v>
      </c>
      <c r="I3" s="22">
        <v>0.26</v>
      </c>
      <c r="J3" s="22">
        <v>6.3799999999999996E-2</v>
      </c>
      <c r="K3" s="25" t="s">
        <v>96</v>
      </c>
      <c r="L3" s="22">
        <v>2.79</v>
      </c>
      <c r="M3" s="47">
        <f t="shared" ref="M3:M13" si="3">O3-N3</f>
        <v>0</v>
      </c>
      <c r="N3" s="24">
        <f t="shared" si="0"/>
        <v>2.5000000000000001E-3</v>
      </c>
      <c r="O3" s="24">
        <f t="shared" si="0"/>
        <v>2.5000000000000001E-3</v>
      </c>
      <c r="P3" s="24">
        <f>0.5* 0.5</f>
        <v>0.25</v>
      </c>
      <c r="Q3" s="75">
        <f t="shared" ref="Q3:Q13" si="4">M3+P3</f>
        <v>0.25</v>
      </c>
      <c r="R3" s="22">
        <v>2.9599999999999998E-4</v>
      </c>
      <c r="S3" s="24">
        <f>0.5* 0.005</f>
        <v>2.5000000000000001E-3</v>
      </c>
      <c r="T3" s="24">
        <f>0.5* 0.0001</f>
        <v>5.0000000000000002E-5</v>
      </c>
      <c r="U3" s="22">
        <v>2.5199999999999999E-5</v>
      </c>
      <c r="V3" s="22">
        <v>3.6000000000000002E-4</v>
      </c>
      <c r="W3" s="22">
        <v>3.6600000000000001E-2</v>
      </c>
      <c r="X3" s="22">
        <v>1.5E-5</v>
      </c>
      <c r="Y3" s="22">
        <v>9.0499999999999999E-4</v>
      </c>
      <c r="Z3" s="24">
        <f t="shared" si="1"/>
        <v>2.5000000000000002E-6</v>
      </c>
      <c r="AA3" s="22">
        <v>9.8900000000000008E-4</v>
      </c>
      <c r="AB3" s="22">
        <v>7.3999999999999996E-5</v>
      </c>
      <c r="AC3" s="22">
        <v>1.06E-4</v>
      </c>
      <c r="AD3" s="24">
        <f>0.5* 0.000005</f>
        <v>2.5000000000000002E-6</v>
      </c>
      <c r="AE3" s="22">
        <v>6.2600000000000004E-4</v>
      </c>
      <c r="AF3" s="22">
        <v>6.4000000000000005E-4</v>
      </c>
      <c r="AG3" s="22">
        <v>1.44E-2</v>
      </c>
      <c r="AH3" s="22">
        <v>2.9100000000000003E-4</v>
      </c>
      <c r="AI3" s="24">
        <f t="shared" si="2"/>
        <v>2.5000000000000002E-6</v>
      </c>
      <c r="AJ3" s="22">
        <v>2.0100000000000001E-5</v>
      </c>
      <c r="AK3" s="22">
        <v>3.4000000000000002E-4</v>
      </c>
      <c r="AL3" s="22">
        <v>2.5299999999999998</v>
      </c>
      <c r="AM3" s="24">
        <f>0.5* 0.0005</f>
        <v>2.5000000000000001E-4</v>
      </c>
      <c r="AN3" s="22">
        <v>0.114</v>
      </c>
    </row>
    <row r="4" spans="1:40">
      <c r="A4" s="20" t="s">
        <v>10</v>
      </c>
      <c r="B4" s="21">
        <v>42801.5</v>
      </c>
      <c r="C4" s="22">
        <v>-0.4</v>
      </c>
      <c r="D4" s="22">
        <v>73.2</v>
      </c>
      <c r="E4" s="22">
        <v>25.8</v>
      </c>
      <c r="F4" s="22">
        <v>7.71</v>
      </c>
      <c r="G4" s="24">
        <f>0.5* 3</f>
        <v>1.5</v>
      </c>
      <c r="H4" s="22">
        <v>62</v>
      </c>
      <c r="I4" s="22">
        <v>0.23</v>
      </c>
      <c r="J4" s="22">
        <v>5.79E-2</v>
      </c>
      <c r="K4" s="25" t="s">
        <v>96</v>
      </c>
      <c r="L4" s="22">
        <v>3</v>
      </c>
      <c r="M4" s="47">
        <f t="shared" si="3"/>
        <v>0</v>
      </c>
      <c r="N4" s="24">
        <f t="shared" si="0"/>
        <v>2.5000000000000001E-3</v>
      </c>
      <c r="O4" s="24">
        <f t="shared" si="0"/>
        <v>2.5000000000000001E-3</v>
      </c>
      <c r="P4" s="24">
        <f>0.5* 0.5</f>
        <v>0.25</v>
      </c>
      <c r="Q4" s="75">
        <f t="shared" si="4"/>
        <v>0.25</v>
      </c>
      <c r="R4" s="22">
        <v>2.9999999999999997E-4</v>
      </c>
      <c r="S4" s="24">
        <f t="shared" ref="S4:S13" si="5">0.5* 0.01</f>
        <v>5.0000000000000001E-3</v>
      </c>
      <c r="T4" s="22">
        <v>1E-4</v>
      </c>
      <c r="U4" s="24">
        <f>0.5* 0.0001</f>
        <v>5.0000000000000002E-5</v>
      </c>
      <c r="V4" s="24">
        <f>0.5* 0.0005</f>
        <v>2.5000000000000001E-4</v>
      </c>
      <c r="W4" s="22">
        <v>3.5000000000000003E-2</v>
      </c>
      <c r="X4" s="24">
        <f>0.5* 0.00005</f>
        <v>2.5000000000000001E-5</v>
      </c>
      <c r="Y4" s="22">
        <v>6.8999999999999997E-4</v>
      </c>
      <c r="Z4" s="24">
        <f t="shared" si="1"/>
        <v>2.5000000000000002E-6</v>
      </c>
      <c r="AA4" s="22">
        <v>1.2199999999999999E-3</v>
      </c>
      <c r="AB4" s="24">
        <f t="shared" ref="AB4:AB13" si="6">0.5* 0.0005</f>
        <v>2.5000000000000001E-4</v>
      </c>
      <c r="AC4" s="22">
        <v>1.4799999999999999E-4</v>
      </c>
      <c r="AD4" s="24">
        <f t="shared" ref="AD4:AD13" si="7">0.5* 0.00001</f>
        <v>5.0000000000000004E-6</v>
      </c>
      <c r="AE4" s="22">
        <v>6.5499999999999998E-4</v>
      </c>
      <c r="AF4" s="24">
        <f t="shared" ref="AF4:AF13" si="8">0.5* 0.003</f>
        <v>1.5E-3</v>
      </c>
      <c r="AG4" s="22">
        <v>1.2999999999999999E-2</v>
      </c>
      <c r="AH4" s="22">
        <v>2.7999999999999998E-4</v>
      </c>
      <c r="AI4" s="24">
        <f t="shared" si="2"/>
        <v>2.5000000000000002E-6</v>
      </c>
      <c r="AJ4" s="24">
        <f>0.5* 0.0001</f>
        <v>5.0000000000000002E-5</v>
      </c>
      <c r="AK4" s="22">
        <v>3.1E-4</v>
      </c>
      <c r="AL4" s="22">
        <v>2.9</v>
      </c>
      <c r="AM4" s="24">
        <f t="shared" ref="AM4:AM11" si="9">0.5* 0.001</f>
        <v>5.0000000000000001E-4</v>
      </c>
      <c r="AN4" s="22">
        <v>8.3000000000000004E-2</v>
      </c>
    </row>
    <row r="5" spans="1:40">
      <c r="A5" s="20" t="s">
        <v>10</v>
      </c>
      <c r="B5" s="21">
        <v>42830.5</v>
      </c>
      <c r="C5" s="22">
        <v>2.8</v>
      </c>
      <c r="D5" s="22">
        <v>59</v>
      </c>
      <c r="E5" s="22">
        <v>25</v>
      </c>
      <c r="F5" s="22">
        <v>7.65</v>
      </c>
      <c r="G5" s="24">
        <f>0.5* 3</f>
        <v>1.5</v>
      </c>
      <c r="H5" s="22">
        <v>47</v>
      </c>
      <c r="I5" s="22">
        <v>0.44</v>
      </c>
      <c r="J5" s="22">
        <v>8.6E-3</v>
      </c>
      <c r="K5" s="25" t="s">
        <v>96</v>
      </c>
      <c r="L5" s="22">
        <v>2.96</v>
      </c>
      <c r="M5" s="47">
        <f t="shared" si="3"/>
        <v>0</v>
      </c>
      <c r="N5" s="24">
        <f t="shared" si="0"/>
        <v>2.5000000000000001E-3</v>
      </c>
      <c r="O5" s="24">
        <f t="shared" si="0"/>
        <v>2.5000000000000001E-3</v>
      </c>
      <c r="P5" s="24">
        <f>0.5* 0.5</f>
        <v>0.25</v>
      </c>
      <c r="Q5" s="75">
        <f t="shared" si="4"/>
        <v>0.25</v>
      </c>
      <c r="R5" s="22">
        <v>3.6999999999999999E-4</v>
      </c>
      <c r="S5" s="24">
        <f t="shared" si="5"/>
        <v>5.0000000000000001E-3</v>
      </c>
      <c r="T5" s="24">
        <f>0.5* 0.0001</f>
        <v>5.0000000000000002E-5</v>
      </c>
      <c r="U5" s="24">
        <f>0.5* 0.0001</f>
        <v>5.0000000000000002E-5</v>
      </c>
      <c r="V5" s="22">
        <v>6.4000000000000005E-4</v>
      </c>
      <c r="W5" s="22">
        <v>9.4E-2</v>
      </c>
      <c r="X5" s="24">
        <f>0.5* 0.00005</f>
        <v>2.5000000000000001E-5</v>
      </c>
      <c r="Y5" s="22">
        <v>1.73E-3</v>
      </c>
      <c r="Z5" s="24">
        <f t="shared" si="1"/>
        <v>2.5000000000000002E-6</v>
      </c>
      <c r="AA5" s="22">
        <v>1.07E-3</v>
      </c>
      <c r="AB5" s="24">
        <f t="shared" si="6"/>
        <v>2.5000000000000001E-4</v>
      </c>
      <c r="AC5" s="22">
        <v>1.5699999999999999E-4</v>
      </c>
      <c r="AD5" s="24">
        <f t="shared" si="7"/>
        <v>5.0000000000000004E-6</v>
      </c>
      <c r="AE5" s="22">
        <v>8.1700000000000002E-4</v>
      </c>
      <c r="AF5" s="24">
        <f t="shared" si="8"/>
        <v>1.5E-3</v>
      </c>
      <c r="AG5" s="22">
        <v>2.7799999999999998E-2</v>
      </c>
      <c r="AH5" s="22">
        <v>2.9E-4</v>
      </c>
      <c r="AI5" s="24">
        <f t="shared" si="2"/>
        <v>2.5000000000000002E-6</v>
      </c>
      <c r="AJ5" s="24">
        <f>0.5* 0.0001</f>
        <v>5.0000000000000002E-5</v>
      </c>
      <c r="AK5" s="22">
        <v>4.2000000000000002E-4</v>
      </c>
      <c r="AL5" s="22">
        <v>2.73</v>
      </c>
      <c r="AM5" s="24">
        <f t="shared" si="9"/>
        <v>5.0000000000000001E-4</v>
      </c>
      <c r="AN5" s="22">
        <v>0.17299999999999999</v>
      </c>
    </row>
    <row r="6" spans="1:40">
      <c r="A6" s="20" t="s">
        <v>10</v>
      </c>
      <c r="B6" s="21">
        <v>42858</v>
      </c>
      <c r="C6" s="22">
        <v>5.2</v>
      </c>
      <c r="D6" s="22">
        <v>44.5</v>
      </c>
      <c r="E6" s="22">
        <v>17.899999999999999</v>
      </c>
      <c r="F6" s="22">
        <v>7.43</v>
      </c>
      <c r="G6" s="22">
        <v>4.5999999999999996</v>
      </c>
      <c r="H6" s="22">
        <v>56</v>
      </c>
      <c r="I6" s="22">
        <v>2.2599999999999998</v>
      </c>
      <c r="J6" s="22">
        <v>3.2899999999999999E-2</v>
      </c>
      <c r="K6" s="25" t="s">
        <v>96</v>
      </c>
      <c r="L6" s="22">
        <v>1.27</v>
      </c>
      <c r="M6" s="47">
        <f t="shared" si="3"/>
        <v>0</v>
      </c>
      <c r="N6" s="24">
        <f t="shared" si="0"/>
        <v>2.5000000000000001E-3</v>
      </c>
      <c r="O6" s="24">
        <f t="shared" si="0"/>
        <v>2.5000000000000001E-3</v>
      </c>
      <c r="P6" s="24">
        <f>0.5* 0.5</f>
        <v>0.25</v>
      </c>
      <c r="Q6" s="75">
        <f t="shared" si="4"/>
        <v>0.25</v>
      </c>
      <c r="R6" s="22">
        <v>4.0000000000000002E-4</v>
      </c>
      <c r="S6" s="24">
        <f t="shared" si="5"/>
        <v>5.0000000000000001E-3</v>
      </c>
      <c r="T6" s="22">
        <v>2.3000000000000001E-4</v>
      </c>
      <c r="U6" s="24">
        <f>0.5* 0.0001</f>
        <v>5.0000000000000002E-5</v>
      </c>
      <c r="V6" s="22">
        <v>1.31E-3</v>
      </c>
      <c r="W6" s="22">
        <v>0.36099999999999999</v>
      </c>
      <c r="X6" s="22">
        <v>6.0999999999999999E-5</v>
      </c>
      <c r="Y6" s="22">
        <v>1.15E-2</v>
      </c>
      <c r="Z6" s="24">
        <f t="shared" si="1"/>
        <v>2.5000000000000002E-6</v>
      </c>
      <c r="AA6" s="22">
        <v>6.02E-4</v>
      </c>
      <c r="AB6" s="24">
        <f t="shared" si="6"/>
        <v>2.5000000000000001E-4</v>
      </c>
      <c r="AC6" s="22">
        <v>1.02E-4</v>
      </c>
      <c r="AD6" s="24">
        <f t="shared" si="7"/>
        <v>5.0000000000000004E-6</v>
      </c>
      <c r="AE6" s="22">
        <v>7.0200000000000004E-4</v>
      </c>
      <c r="AF6" s="24">
        <f t="shared" si="8"/>
        <v>1.5E-3</v>
      </c>
      <c r="AG6" s="22">
        <v>0.121</v>
      </c>
      <c r="AH6" s="22">
        <v>3.5E-4</v>
      </c>
      <c r="AI6" s="24">
        <f t="shared" si="2"/>
        <v>2.5000000000000002E-6</v>
      </c>
      <c r="AJ6" s="24">
        <f>0.5* 0.0001</f>
        <v>5.0000000000000002E-5</v>
      </c>
      <c r="AK6" s="22">
        <v>1.0399999999999999E-3</v>
      </c>
      <c r="AL6" s="22">
        <v>2.3199999999999998</v>
      </c>
      <c r="AM6" s="24">
        <f t="shared" si="9"/>
        <v>5.0000000000000001E-4</v>
      </c>
      <c r="AN6" s="22">
        <v>0.95499999999999996</v>
      </c>
    </row>
    <row r="7" spans="1:40">
      <c r="A7" s="20" t="s">
        <v>10</v>
      </c>
      <c r="B7" s="21">
        <v>42893.5</v>
      </c>
      <c r="C7" s="22">
        <v>9.5</v>
      </c>
      <c r="D7" s="22">
        <v>37.9</v>
      </c>
      <c r="E7" s="22">
        <v>14</v>
      </c>
      <c r="F7" s="22">
        <v>7.26</v>
      </c>
      <c r="G7" s="22">
        <v>14.5</v>
      </c>
      <c r="H7" s="22">
        <v>48</v>
      </c>
      <c r="I7" s="22">
        <v>0.63</v>
      </c>
      <c r="J7" s="24">
        <f t="shared" ref="J7:J13" si="10">0.5* 0.005</f>
        <v>2.5000000000000001E-3</v>
      </c>
      <c r="K7" s="25" t="s">
        <v>96</v>
      </c>
      <c r="L7" s="22">
        <v>4.63</v>
      </c>
      <c r="M7" s="47">
        <f t="shared" si="3"/>
        <v>0</v>
      </c>
      <c r="N7" s="24">
        <f t="shared" si="0"/>
        <v>2.5000000000000001E-3</v>
      </c>
      <c r="O7" s="24">
        <f t="shared" si="0"/>
        <v>2.5000000000000001E-3</v>
      </c>
      <c r="P7" s="22">
        <v>0.63</v>
      </c>
      <c r="Q7" s="75">
        <f t="shared" si="4"/>
        <v>0.63</v>
      </c>
      <c r="R7" s="22">
        <v>3.5E-4</v>
      </c>
      <c r="S7" s="24">
        <f t="shared" si="5"/>
        <v>5.0000000000000001E-3</v>
      </c>
      <c r="T7" s="22">
        <v>1.2999999999999999E-4</v>
      </c>
      <c r="U7" s="22">
        <v>1.1900000000000001E-3</v>
      </c>
      <c r="V7" s="22">
        <v>6.8999999999999997E-4</v>
      </c>
      <c r="W7" s="22">
        <v>0.127</v>
      </c>
      <c r="X7" s="24">
        <f t="shared" ref="X7:X13" si="11">0.5* 0.00005</f>
        <v>2.5000000000000001E-5</v>
      </c>
      <c r="Y7" s="22">
        <v>3.5799999999999998E-3</v>
      </c>
      <c r="Z7" s="24">
        <f t="shared" si="1"/>
        <v>2.5000000000000002E-6</v>
      </c>
      <c r="AA7" s="22">
        <v>4.55E-4</v>
      </c>
      <c r="AB7" s="24">
        <f t="shared" si="6"/>
        <v>2.5000000000000001E-4</v>
      </c>
      <c r="AC7" s="22">
        <v>6.0999999999999999E-5</v>
      </c>
      <c r="AD7" s="24">
        <f t="shared" si="7"/>
        <v>5.0000000000000004E-6</v>
      </c>
      <c r="AE7" s="22">
        <v>4.0099999999999999E-4</v>
      </c>
      <c r="AF7" s="24">
        <f t="shared" si="8"/>
        <v>1.5E-3</v>
      </c>
      <c r="AG7" s="22">
        <v>8.77E-2</v>
      </c>
      <c r="AH7" s="22">
        <v>2.7E-4</v>
      </c>
      <c r="AI7" s="24">
        <f t="shared" si="2"/>
        <v>2.5000000000000002E-6</v>
      </c>
      <c r="AJ7" s="22">
        <v>1.1299999999999999E-3</v>
      </c>
      <c r="AK7" s="22">
        <v>6.4999999999999997E-4</v>
      </c>
      <c r="AL7" s="22">
        <v>2.31</v>
      </c>
      <c r="AM7" s="24">
        <f t="shared" si="9"/>
        <v>5.0000000000000001E-4</v>
      </c>
      <c r="AN7" s="22">
        <v>0.23899999999999999</v>
      </c>
    </row>
    <row r="8" spans="1:40">
      <c r="A8" s="20" t="s">
        <v>10</v>
      </c>
      <c r="B8" s="21">
        <v>42921.5</v>
      </c>
      <c r="C8" s="22">
        <v>11.3</v>
      </c>
      <c r="D8" s="22">
        <v>79.3</v>
      </c>
      <c r="E8" s="22">
        <v>26.3</v>
      </c>
      <c r="F8" s="22">
        <v>7.42</v>
      </c>
      <c r="G8" s="24">
        <f>0.5* 3</f>
        <v>1.5</v>
      </c>
      <c r="H8" s="22">
        <v>74</v>
      </c>
      <c r="I8" s="22">
        <v>0.24</v>
      </c>
      <c r="J8" s="24">
        <f t="shared" si="10"/>
        <v>2.5000000000000001E-3</v>
      </c>
      <c r="K8" s="25" t="s">
        <v>96</v>
      </c>
      <c r="L8" s="22">
        <v>15.4</v>
      </c>
      <c r="M8" s="47">
        <f t="shared" si="3"/>
        <v>0</v>
      </c>
      <c r="N8" s="24">
        <f t="shared" si="0"/>
        <v>2.5000000000000001E-3</v>
      </c>
      <c r="O8" s="24">
        <f t="shared" si="0"/>
        <v>2.5000000000000001E-3</v>
      </c>
      <c r="P8" s="24">
        <f t="shared" ref="P8:P13" si="12">0.5* 0.5</f>
        <v>0.25</v>
      </c>
      <c r="Q8" s="75">
        <f t="shared" si="4"/>
        <v>0.25</v>
      </c>
      <c r="R8" s="22">
        <v>4.0999999999999999E-4</v>
      </c>
      <c r="S8" s="24">
        <f t="shared" si="5"/>
        <v>5.0000000000000001E-3</v>
      </c>
      <c r="T8" s="24">
        <f>0.5* 0.0001</f>
        <v>5.0000000000000002E-5</v>
      </c>
      <c r="U8" s="22">
        <v>3.2299999999999998E-3</v>
      </c>
      <c r="V8" s="22">
        <v>5.2999999999999998E-4</v>
      </c>
      <c r="W8" s="22">
        <v>4.4999999999999998E-2</v>
      </c>
      <c r="X8" s="24">
        <f t="shared" si="11"/>
        <v>2.5000000000000001E-5</v>
      </c>
      <c r="Y8" s="22">
        <v>1.14E-3</v>
      </c>
      <c r="Z8" s="24">
        <f t="shared" si="1"/>
        <v>2.5000000000000002E-6</v>
      </c>
      <c r="AA8" s="22">
        <v>9.2199999999999997E-4</v>
      </c>
      <c r="AB8" s="24">
        <f t="shared" si="6"/>
        <v>2.5000000000000001E-4</v>
      </c>
      <c r="AC8" s="22">
        <v>7.2000000000000002E-5</v>
      </c>
      <c r="AD8" s="24">
        <f t="shared" si="7"/>
        <v>5.0000000000000004E-6</v>
      </c>
      <c r="AE8" s="22">
        <v>3.6400000000000001E-4</v>
      </c>
      <c r="AF8" s="24">
        <f t="shared" si="8"/>
        <v>1.5E-3</v>
      </c>
      <c r="AG8" s="22">
        <v>2.53E-2</v>
      </c>
      <c r="AH8" s="22">
        <v>3.3E-4</v>
      </c>
      <c r="AI8" s="24">
        <f t="shared" si="2"/>
        <v>2.5000000000000002E-6</v>
      </c>
      <c r="AJ8" s="22">
        <v>3.0100000000000001E-3</v>
      </c>
      <c r="AK8" s="22">
        <v>4.8999999999999998E-4</v>
      </c>
      <c r="AL8" s="22">
        <v>4.4000000000000004</v>
      </c>
      <c r="AM8" s="24">
        <f t="shared" si="9"/>
        <v>5.0000000000000001E-4</v>
      </c>
      <c r="AN8" s="22">
        <v>0.47099999999999997</v>
      </c>
    </row>
    <row r="9" spans="1:40">
      <c r="A9" s="20" t="s">
        <v>10</v>
      </c>
      <c r="B9" s="21">
        <v>42949</v>
      </c>
      <c r="C9" s="22">
        <v>15.1</v>
      </c>
      <c r="D9" s="22">
        <v>149</v>
      </c>
      <c r="E9" s="22">
        <v>49.5</v>
      </c>
      <c r="F9" s="22">
        <v>7.67</v>
      </c>
      <c r="G9" s="24">
        <f>0.5* 3</f>
        <v>1.5</v>
      </c>
      <c r="H9" s="22">
        <v>113</v>
      </c>
      <c r="I9" s="22">
        <v>0.16</v>
      </c>
      <c r="J9" s="24">
        <f t="shared" si="10"/>
        <v>2.5000000000000001E-3</v>
      </c>
      <c r="K9" s="25" t="s">
        <v>96</v>
      </c>
      <c r="L9" s="22">
        <v>41.2</v>
      </c>
      <c r="M9" s="47">
        <f t="shared" si="3"/>
        <v>0</v>
      </c>
      <c r="N9" s="24">
        <f t="shared" si="0"/>
        <v>2.5000000000000001E-3</v>
      </c>
      <c r="O9" s="24">
        <f t="shared" si="0"/>
        <v>2.5000000000000001E-3</v>
      </c>
      <c r="P9" s="24">
        <f t="shared" si="12"/>
        <v>0.25</v>
      </c>
      <c r="Q9" s="75">
        <f t="shared" si="4"/>
        <v>0.25</v>
      </c>
      <c r="R9" s="22">
        <v>5.5000000000000003E-4</v>
      </c>
      <c r="S9" s="24">
        <f t="shared" si="5"/>
        <v>5.0000000000000001E-3</v>
      </c>
      <c r="T9" s="22">
        <v>1.9000000000000001E-4</v>
      </c>
      <c r="U9" s="22">
        <v>7.7999999999999996E-3</v>
      </c>
      <c r="V9" s="22">
        <v>6.4999999999999997E-4</v>
      </c>
      <c r="W9" s="22">
        <v>1.7000000000000001E-2</v>
      </c>
      <c r="X9" s="24">
        <f t="shared" si="11"/>
        <v>2.5000000000000001E-5</v>
      </c>
      <c r="Y9" s="22">
        <v>1.3699999999999999E-3</v>
      </c>
      <c r="Z9" s="24">
        <f t="shared" si="1"/>
        <v>2.5000000000000002E-6</v>
      </c>
      <c r="AA9" s="22">
        <v>1.64E-3</v>
      </c>
      <c r="AB9" s="24">
        <f t="shared" si="6"/>
        <v>2.5000000000000001E-4</v>
      </c>
      <c r="AC9" s="22">
        <v>1.9100000000000001E-4</v>
      </c>
      <c r="AD9" s="24">
        <f t="shared" si="7"/>
        <v>5.0000000000000004E-6</v>
      </c>
      <c r="AE9" s="22">
        <v>3.5199999999999999E-4</v>
      </c>
      <c r="AF9" s="24">
        <f t="shared" si="8"/>
        <v>1.5E-3</v>
      </c>
      <c r="AG9" s="22">
        <v>1.2500000000000001E-2</v>
      </c>
      <c r="AH9" s="22">
        <v>4.8000000000000001E-4</v>
      </c>
      <c r="AI9" s="24">
        <f t="shared" si="2"/>
        <v>2.5000000000000002E-6</v>
      </c>
      <c r="AJ9" s="22">
        <v>7.3699999999999998E-3</v>
      </c>
      <c r="AK9" s="22">
        <v>4.8000000000000001E-4</v>
      </c>
      <c r="AL9" s="22">
        <v>9.49</v>
      </c>
      <c r="AM9" s="24">
        <f t="shared" si="9"/>
        <v>5.0000000000000001E-4</v>
      </c>
      <c r="AN9" s="22">
        <v>0.8</v>
      </c>
    </row>
    <row r="10" spans="1:40">
      <c r="A10" s="20" t="s">
        <v>10</v>
      </c>
      <c r="B10" s="21">
        <v>42984</v>
      </c>
      <c r="C10" s="22">
        <v>14.2</v>
      </c>
      <c r="D10" s="22">
        <v>143</v>
      </c>
      <c r="E10" s="22">
        <v>47.6</v>
      </c>
      <c r="F10" s="22">
        <v>7.8</v>
      </c>
      <c r="G10" s="24">
        <f>0.5* 3</f>
        <v>1.5</v>
      </c>
      <c r="H10" s="22">
        <v>109</v>
      </c>
      <c r="I10" s="22">
        <v>0.17</v>
      </c>
      <c r="J10" s="24">
        <f t="shared" si="10"/>
        <v>2.5000000000000001E-3</v>
      </c>
      <c r="K10" s="24">
        <f>0.5* 0.001</f>
        <v>5.0000000000000001E-4</v>
      </c>
      <c r="L10" s="22">
        <v>34.5</v>
      </c>
      <c r="M10" s="47">
        <f t="shared" si="3"/>
        <v>0</v>
      </c>
      <c r="N10" s="24">
        <f t="shared" si="0"/>
        <v>2.5000000000000001E-3</v>
      </c>
      <c r="O10" s="24">
        <f t="shared" si="0"/>
        <v>2.5000000000000001E-3</v>
      </c>
      <c r="P10" s="24">
        <f t="shared" si="12"/>
        <v>0.25</v>
      </c>
      <c r="Q10" s="75">
        <f t="shared" si="4"/>
        <v>0.25</v>
      </c>
      <c r="R10" s="22">
        <v>5.1999999999999995E-4</v>
      </c>
      <c r="S10" s="24">
        <f t="shared" si="5"/>
        <v>5.0000000000000001E-3</v>
      </c>
      <c r="T10" s="24">
        <f>0.5* 0.0001</f>
        <v>5.0000000000000002E-5</v>
      </c>
      <c r="U10" s="22">
        <v>6.2100000000000002E-3</v>
      </c>
      <c r="V10" s="24">
        <f>0.5* 0.0005</f>
        <v>2.5000000000000001E-4</v>
      </c>
      <c r="W10" s="22">
        <v>0.01</v>
      </c>
      <c r="X10" s="24">
        <f t="shared" si="11"/>
        <v>2.5000000000000001E-5</v>
      </c>
      <c r="Y10" s="22">
        <v>7.9000000000000001E-4</v>
      </c>
      <c r="Z10" s="24">
        <f t="shared" si="1"/>
        <v>2.5000000000000002E-6</v>
      </c>
      <c r="AA10" s="22">
        <v>1.58E-3</v>
      </c>
      <c r="AB10" s="24">
        <f t="shared" si="6"/>
        <v>2.5000000000000001E-4</v>
      </c>
      <c r="AC10" s="22">
        <v>1.27E-4</v>
      </c>
      <c r="AD10" s="24">
        <f t="shared" si="7"/>
        <v>5.0000000000000004E-6</v>
      </c>
      <c r="AE10" s="22">
        <v>3.01E-4</v>
      </c>
      <c r="AF10" s="24">
        <f t="shared" si="8"/>
        <v>1.5E-3</v>
      </c>
      <c r="AG10" s="22">
        <v>7.1000000000000004E-3</v>
      </c>
      <c r="AH10" s="22">
        <v>4.8999999999999998E-4</v>
      </c>
      <c r="AI10" s="24">
        <f t="shared" si="2"/>
        <v>2.5000000000000002E-6</v>
      </c>
      <c r="AJ10" s="22">
        <v>5.94E-3</v>
      </c>
      <c r="AK10" s="22">
        <v>3.6999999999999999E-4</v>
      </c>
      <c r="AL10" s="22">
        <v>8.36</v>
      </c>
      <c r="AM10" s="24">
        <f t="shared" si="9"/>
        <v>5.0000000000000001E-4</v>
      </c>
      <c r="AN10" s="22">
        <v>0.99399999999999999</v>
      </c>
    </row>
    <row r="11" spans="1:40">
      <c r="A11" s="20" t="s">
        <v>10</v>
      </c>
      <c r="B11" s="21">
        <v>43012</v>
      </c>
      <c r="C11" s="22">
        <v>3.6</v>
      </c>
      <c r="D11" s="22">
        <v>161</v>
      </c>
      <c r="E11" s="22">
        <v>54</v>
      </c>
      <c r="F11" s="22">
        <v>7.63</v>
      </c>
      <c r="G11" s="22">
        <v>3.5</v>
      </c>
      <c r="H11" s="22">
        <v>120</v>
      </c>
      <c r="I11" s="22">
        <v>0.13</v>
      </c>
      <c r="J11" s="24">
        <f t="shared" si="10"/>
        <v>2.5000000000000001E-3</v>
      </c>
      <c r="K11" s="22">
        <v>1.5E-3</v>
      </c>
      <c r="L11" s="22">
        <v>45.6</v>
      </c>
      <c r="M11" s="47">
        <f t="shared" si="3"/>
        <v>0</v>
      </c>
      <c r="N11" s="24">
        <f t="shared" si="0"/>
        <v>2.5000000000000001E-3</v>
      </c>
      <c r="O11" s="24">
        <f t="shared" si="0"/>
        <v>2.5000000000000001E-3</v>
      </c>
      <c r="P11" s="24">
        <f t="shared" si="12"/>
        <v>0.25</v>
      </c>
      <c r="Q11" s="75">
        <f t="shared" si="4"/>
        <v>0.25</v>
      </c>
      <c r="R11" s="22">
        <v>4.4000000000000002E-4</v>
      </c>
      <c r="S11" s="24">
        <f t="shared" si="5"/>
        <v>5.0000000000000001E-3</v>
      </c>
      <c r="T11" s="24">
        <f>0.5* 0.0001</f>
        <v>5.0000000000000002E-5</v>
      </c>
      <c r="U11" s="22">
        <v>1.06E-2</v>
      </c>
      <c r="V11" s="24">
        <f>0.5* 0.0005</f>
        <v>2.5000000000000001E-4</v>
      </c>
      <c r="W11" s="24">
        <f>0.5* 0.01</f>
        <v>5.0000000000000001E-3</v>
      </c>
      <c r="X11" s="24">
        <f t="shared" si="11"/>
        <v>2.5000000000000001E-5</v>
      </c>
      <c r="Y11" s="22">
        <v>4.2000000000000002E-4</v>
      </c>
      <c r="Z11" s="24">
        <f t="shared" si="1"/>
        <v>2.5000000000000002E-6</v>
      </c>
      <c r="AA11" s="22">
        <v>1.5100000000000001E-3</v>
      </c>
      <c r="AB11" s="24">
        <f t="shared" si="6"/>
        <v>2.5000000000000001E-4</v>
      </c>
      <c r="AC11" s="22">
        <v>1.15E-4</v>
      </c>
      <c r="AD11" s="24">
        <f t="shared" si="7"/>
        <v>5.0000000000000004E-6</v>
      </c>
      <c r="AE11" s="22">
        <v>4.6900000000000002E-4</v>
      </c>
      <c r="AF11" s="24">
        <f t="shared" si="8"/>
        <v>1.5E-3</v>
      </c>
      <c r="AG11" s="22">
        <v>4.4000000000000003E-3</v>
      </c>
      <c r="AH11" s="22">
        <v>3.6999999999999999E-4</v>
      </c>
      <c r="AI11" s="24">
        <f t="shared" si="2"/>
        <v>2.5000000000000002E-6</v>
      </c>
      <c r="AJ11" s="22">
        <v>9.6500000000000006E-3</v>
      </c>
      <c r="AK11" s="22">
        <v>3.3E-4</v>
      </c>
      <c r="AL11" s="22">
        <v>9.99</v>
      </c>
      <c r="AM11" s="24">
        <f t="shared" si="9"/>
        <v>5.0000000000000001E-4</v>
      </c>
      <c r="AN11" s="22">
        <v>0.23400000000000001</v>
      </c>
    </row>
    <row r="12" spans="1:40">
      <c r="A12" s="20" t="s">
        <v>10</v>
      </c>
      <c r="B12" s="21">
        <v>43047.5</v>
      </c>
      <c r="C12" s="22">
        <v>-0.6</v>
      </c>
      <c r="D12" s="22">
        <v>69.7</v>
      </c>
      <c r="E12" s="22">
        <v>30</v>
      </c>
      <c r="F12" s="22">
        <v>7.77</v>
      </c>
      <c r="G12" s="24">
        <f>0.5* 3</f>
        <v>1.5</v>
      </c>
      <c r="H12" s="22">
        <v>58</v>
      </c>
      <c r="I12" s="22">
        <v>0.11</v>
      </c>
      <c r="J12" s="24">
        <f t="shared" si="10"/>
        <v>2.5000000000000001E-3</v>
      </c>
      <c r="K12" s="24">
        <f>0.5* 0.001</f>
        <v>5.0000000000000001E-4</v>
      </c>
      <c r="L12" s="22">
        <v>4.1900000000000004</v>
      </c>
      <c r="M12" s="47">
        <f t="shared" si="3"/>
        <v>0</v>
      </c>
      <c r="N12" s="24">
        <f t="shared" si="0"/>
        <v>2.5000000000000001E-3</v>
      </c>
      <c r="O12" s="24">
        <f t="shared" si="0"/>
        <v>2.5000000000000001E-3</v>
      </c>
      <c r="P12" s="24">
        <f t="shared" si="12"/>
        <v>0.25</v>
      </c>
      <c r="Q12" s="75">
        <f t="shared" si="4"/>
        <v>0.25</v>
      </c>
      <c r="R12" s="22">
        <v>4.0000000000000002E-4</v>
      </c>
      <c r="S12" s="24">
        <f t="shared" si="5"/>
        <v>5.0000000000000001E-3</v>
      </c>
      <c r="T12" s="22">
        <v>1.1E-4</v>
      </c>
      <c r="U12" s="24">
        <f>0.5* 0.0001</f>
        <v>5.0000000000000002E-5</v>
      </c>
      <c r="V12" s="24">
        <f>0.5* 0.0005</f>
        <v>2.5000000000000001E-4</v>
      </c>
      <c r="W12" s="22">
        <v>1.0999999999999999E-2</v>
      </c>
      <c r="X12" s="24">
        <f t="shared" si="11"/>
        <v>2.5000000000000001E-5</v>
      </c>
      <c r="Y12" s="22">
        <v>9.6000000000000002E-4</v>
      </c>
      <c r="Z12" s="24">
        <f t="shared" si="1"/>
        <v>2.5000000000000002E-6</v>
      </c>
      <c r="AA12" s="22">
        <v>1.16E-3</v>
      </c>
      <c r="AB12" s="24">
        <f t="shared" si="6"/>
        <v>2.5000000000000001E-4</v>
      </c>
      <c r="AC12" s="22">
        <v>1.18E-4</v>
      </c>
      <c r="AD12" s="24">
        <f t="shared" si="7"/>
        <v>5.0000000000000004E-6</v>
      </c>
      <c r="AE12" s="22">
        <v>6.4999999999999997E-4</v>
      </c>
      <c r="AF12" s="24">
        <f t="shared" si="8"/>
        <v>1.5E-3</v>
      </c>
      <c r="AG12" s="22">
        <v>9.9000000000000008E-3</v>
      </c>
      <c r="AH12" s="22">
        <v>3.5E-4</v>
      </c>
      <c r="AI12" s="24">
        <f t="shared" si="2"/>
        <v>2.5000000000000002E-6</v>
      </c>
      <c r="AJ12" s="24">
        <f>0.5* 0.0001</f>
        <v>5.0000000000000002E-5</v>
      </c>
      <c r="AK12" s="22">
        <v>3.8999999999999999E-4</v>
      </c>
      <c r="AL12" s="22">
        <v>3.07</v>
      </c>
      <c r="AM12" s="22">
        <v>1.6000000000000001E-3</v>
      </c>
      <c r="AN12" s="22">
        <v>7.4999999999999997E-2</v>
      </c>
    </row>
    <row r="13" spans="1:40">
      <c r="A13" s="20" t="s">
        <v>10</v>
      </c>
      <c r="B13" s="21">
        <v>43075.5</v>
      </c>
      <c r="C13" s="22">
        <v>-1.1000000000000001</v>
      </c>
      <c r="D13" s="22">
        <v>60.8</v>
      </c>
      <c r="E13" s="22">
        <v>23.7</v>
      </c>
      <c r="F13" s="22">
        <v>7.62</v>
      </c>
      <c r="G13" s="24">
        <f>0.5* 3</f>
        <v>1.5</v>
      </c>
      <c r="H13" s="22">
        <v>56</v>
      </c>
      <c r="I13" s="22">
        <v>0.21</v>
      </c>
      <c r="J13" s="24">
        <f t="shared" si="10"/>
        <v>2.5000000000000001E-3</v>
      </c>
      <c r="K13" s="24">
        <f>0.5* 0.001</f>
        <v>5.0000000000000001E-4</v>
      </c>
      <c r="L13" s="22">
        <v>3.78</v>
      </c>
      <c r="M13" s="47">
        <f t="shared" si="3"/>
        <v>0</v>
      </c>
      <c r="N13" s="24">
        <f t="shared" si="0"/>
        <v>2.5000000000000001E-3</v>
      </c>
      <c r="O13" s="24">
        <f t="shared" si="0"/>
        <v>2.5000000000000001E-3</v>
      </c>
      <c r="P13" s="24">
        <f t="shared" si="12"/>
        <v>0.25</v>
      </c>
      <c r="Q13" s="75">
        <f t="shared" si="4"/>
        <v>0.25</v>
      </c>
      <c r="R13" s="22">
        <v>3.8000000000000002E-4</v>
      </c>
      <c r="S13" s="24">
        <f t="shared" si="5"/>
        <v>5.0000000000000001E-3</v>
      </c>
      <c r="T13" s="24">
        <f>0.5* 0.0001</f>
        <v>5.0000000000000002E-5</v>
      </c>
      <c r="U13" s="24">
        <f>0.5* 0.0001</f>
        <v>5.0000000000000002E-5</v>
      </c>
      <c r="V13" s="24">
        <f>0.5* 0.0005</f>
        <v>2.5000000000000001E-4</v>
      </c>
      <c r="W13" s="22">
        <v>3.9E-2</v>
      </c>
      <c r="X13" s="24">
        <f t="shared" si="11"/>
        <v>2.5000000000000001E-5</v>
      </c>
      <c r="Y13" s="22">
        <v>7.3999999999999999E-4</v>
      </c>
      <c r="Z13" s="24">
        <f t="shared" si="1"/>
        <v>2.5000000000000002E-6</v>
      </c>
      <c r="AA13" s="22">
        <v>1.14E-3</v>
      </c>
      <c r="AB13" s="24">
        <f t="shared" si="6"/>
        <v>2.5000000000000001E-4</v>
      </c>
      <c r="AC13" s="22">
        <v>1.4300000000000001E-4</v>
      </c>
      <c r="AD13" s="24">
        <f t="shared" si="7"/>
        <v>5.0000000000000004E-6</v>
      </c>
      <c r="AE13" s="22">
        <v>7.5299999999999998E-4</v>
      </c>
      <c r="AF13" s="24">
        <f t="shared" si="8"/>
        <v>1.5E-3</v>
      </c>
      <c r="AG13" s="22">
        <v>2.1499999999999998E-2</v>
      </c>
      <c r="AH13" s="22">
        <v>3.2000000000000003E-4</v>
      </c>
      <c r="AI13" s="24">
        <f t="shared" si="2"/>
        <v>2.5000000000000002E-6</v>
      </c>
      <c r="AJ13" s="24">
        <f>0.5* 0.0001</f>
        <v>5.0000000000000002E-5</v>
      </c>
      <c r="AK13" s="22">
        <v>5.0000000000000001E-4</v>
      </c>
      <c r="AL13" s="22">
        <v>3.06</v>
      </c>
      <c r="AM13" s="24">
        <f>0.5* 0.001</f>
        <v>5.0000000000000001E-4</v>
      </c>
      <c r="AN13" s="22">
        <v>0.22800000000000001</v>
      </c>
    </row>
    <row r="14" spans="1:40">
      <c r="A14" s="14"/>
      <c r="B14" s="15" t="s">
        <v>100</v>
      </c>
      <c r="C14" s="118">
        <f t="shared" ref="C14:AN14" si="13">MIN(C2:C13)</f>
        <v>-1.1000000000000001</v>
      </c>
      <c r="D14" s="29">
        <f t="shared" si="13"/>
        <v>37.9</v>
      </c>
      <c r="E14" s="30">
        <f t="shared" si="13"/>
        <v>14</v>
      </c>
      <c r="F14" s="30">
        <f t="shared" si="13"/>
        <v>7.26</v>
      </c>
      <c r="G14" s="29">
        <f t="shared" si="13"/>
        <v>1.5</v>
      </c>
      <c r="H14" s="16">
        <f t="shared" si="13"/>
        <v>46</v>
      </c>
      <c r="I14" s="30">
        <f t="shared" si="13"/>
        <v>0.11</v>
      </c>
      <c r="J14" s="31">
        <f t="shared" si="13"/>
        <v>2.5000000000000001E-3</v>
      </c>
      <c r="K14" s="31">
        <f t="shared" si="13"/>
        <v>5.0000000000000001E-4</v>
      </c>
      <c r="L14" s="30">
        <f t="shared" si="13"/>
        <v>1.27</v>
      </c>
      <c r="M14" s="48">
        <f t="shared" si="13"/>
        <v>0</v>
      </c>
      <c r="N14" s="31">
        <f t="shared" si="13"/>
        <v>2.5000000000000001E-3</v>
      </c>
      <c r="O14" s="31">
        <f t="shared" si="13"/>
        <v>2.5000000000000001E-3</v>
      </c>
      <c r="P14" s="30">
        <f t="shared" si="13"/>
        <v>0.25</v>
      </c>
      <c r="Q14" s="30">
        <f t="shared" si="13"/>
        <v>0.25</v>
      </c>
      <c r="R14" s="31">
        <f t="shared" si="13"/>
        <v>2.4899999999999998E-4</v>
      </c>
      <c r="S14" s="31">
        <f t="shared" si="13"/>
        <v>2.5000000000000001E-3</v>
      </c>
      <c r="T14" s="38">
        <f t="shared" si="13"/>
        <v>5.0000000000000002E-5</v>
      </c>
      <c r="U14" s="39">
        <f t="shared" si="13"/>
        <v>1.9599999999999999E-5</v>
      </c>
      <c r="V14" s="38">
        <f t="shared" si="13"/>
        <v>2.5000000000000001E-4</v>
      </c>
      <c r="W14" s="31">
        <f t="shared" si="13"/>
        <v>5.0000000000000001E-3</v>
      </c>
      <c r="X14" s="39">
        <f t="shared" si="13"/>
        <v>1.1E-5</v>
      </c>
      <c r="Y14" s="39">
        <f t="shared" si="13"/>
        <v>4.2000000000000002E-4</v>
      </c>
      <c r="Z14" s="40">
        <f t="shared" si="13"/>
        <v>2.5000000000000002E-6</v>
      </c>
      <c r="AA14" s="39">
        <f t="shared" si="13"/>
        <v>4.55E-4</v>
      </c>
      <c r="AB14" s="39">
        <f t="shared" si="13"/>
        <v>6.0000000000000002E-5</v>
      </c>
      <c r="AC14" s="39">
        <f t="shared" si="13"/>
        <v>6.0999999999999999E-5</v>
      </c>
      <c r="AD14" s="40">
        <f t="shared" si="13"/>
        <v>2.5000000000000002E-6</v>
      </c>
      <c r="AE14" s="39">
        <f t="shared" si="13"/>
        <v>3.01E-4</v>
      </c>
      <c r="AF14" s="31">
        <f t="shared" si="13"/>
        <v>6.4000000000000005E-4</v>
      </c>
      <c r="AG14" s="38">
        <f t="shared" si="13"/>
        <v>4.4000000000000003E-3</v>
      </c>
      <c r="AH14" s="38">
        <f t="shared" si="13"/>
        <v>2.7E-4</v>
      </c>
      <c r="AI14" s="40">
        <f t="shared" si="13"/>
        <v>2.5000000000000002E-6</v>
      </c>
      <c r="AJ14" s="38">
        <f t="shared" si="13"/>
        <v>1.9700000000000001E-5</v>
      </c>
      <c r="AK14" s="38">
        <f t="shared" si="13"/>
        <v>3.1E-4</v>
      </c>
      <c r="AL14" s="29">
        <f t="shared" si="13"/>
        <v>2.31</v>
      </c>
      <c r="AM14" s="38">
        <f t="shared" si="13"/>
        <v>2.5000000000000001E-4</v>
      </c>
      <c r="AN14" s="37">
        <f t="shared" si="13"/>
        <v>7.4999999999999997E-2</v>
      </c>
    </row>
    <row r="15" spans="1:40">
      <c r="A15" s="14"/>
      <c r="B15" s="15" t="s">
        <v>101</v>
      </c>
      <c r="C15" s="29">
        <f t="shared" ref="C15:AN15" si="14">MAX(C2:C13)</f>
        <v>15.1</v>
      </c>
      <c r="D15" s="29">
        <f t="shared" si="14"/>
        <v>161</v>
      </c>
      <c r="E15" s="30">
        <f t="shared" si="14"/>
        <v>54</v>
      </c>
      <c r="F15" s="30">
        <f t="shared" si="14"/>
        <v>7.8</v>
      </c>
      <c r="G15" s="29">
        <f t="shared" si="14"/>
        <v>14.5</v>
      </c>
      <c r="H15" s="16">
        <f t="shared" si="14"/>
        <v>120</v>
      </c>
      <c r="I15" s="30">
        <f t="shared" si="14"/>
        <v>2.2599999999999998</v>
      </c>
      <c r="J15" s="31">
        <f t="shared" si="14"/>
        <v>6.3799999999999996E-2</v>
      </c>
      <c r="K15" s="31">
        <f t="shared" si="14"/>
        <v>1.5E-3</v>
      </c>
      <c r="L15" s="30">
        <f t="shared" si="14"/>
        <v>45.6</v>
      </c>
      <c r="M15" s="48">
        <f t="shared" si="14"/>
        <v>0</v>
      </c>
      <c r="N15" s="31">
        <f t="shared" si="14"/>
        <v>2.5000000000000001E-3</v>
      </c>
      <c r="O15" s="31">
        <f t="shared" si="14"/>
        <v>2.5000000000000001E-3</v>
      </c>
      <c r="P15" s="30">
        <f t="shared" si="14"/>
        <v>0.63</v>
      </c>
      <c r="Q15" s="30">
        <f t="shared" si="14"/>
        <v>0.63</v>
      </c>
      <c r="R15" s="31">
        <f t="shared" si="14"/>
        <v>5.5000000000000003E-4</v>
      </c>
      <c r="S15" s="31">
        <f t="shared" si="14"/>
        <v>5.0000000000000001E-3</v>
      </c>
      <c r="T15" s="38">
        <f t="shared" si="14"/>
        <v>2.3000000000000001E-4</v>
      </c>
      <c r="U15" s="39">
        <f t="shared" si="14"/>
        <v>1.06E-2</v>
      </c>
      <c r="V15" s="38">
        <f t="shared" si="14"/>
        <v>1.31E-3</v>
      </c>
      <c r="W15" s="31">
        <f t="shared" si="14"/>
        <v>0.36099999999999999</v>
      </c>
      <c r="X15" s="39">
        <f t="shared" si="14"/>
        <v>6.0999999999999999E-5</v>
      </c>
      <c r="Y15" s="39">
        <f t="shared" si="14"/>
        <v>1.15E-2</v>
      </c>
      <c r="Z15" s="40">
        <f t="shared" si="14"/>
        <v>2.5000000000000002E-6</v>
      </c>
      <c r="AA15" s="39">
        <f t="shared" si="14"/>
        <v>1.64E-3</v>
      </c>
      <c r="AB15" s="39">
        <f t="shared" si="14"/>
        <v>2.5000000000000001E-4</v>
      </c>
      <c r="AC15" s="39">
        <f t="shared" si="14"/>
        <v>1.9100000000000001E-4</v>
      </c>
      <c r="AD15" s="40">
        <f t="shared" si="14"/>
        <v>5.0000000000000004E-6</v>
      </c>
      <c r="AE15" s="39">
        <f t="shared" si="14"/>
        <v>8.1700000000000002E-4</v>
      </c>
      <c r="AF15" s="31">
        <f t="shared" si="14"/>
        <v>1.5299999999999999E-3</v>
      </c>
      <c r="AG15" s="38">
        <f t="shared" si="14"/>
        <v>0.121</v>
      </c>
      <c r="AH15" s="38">
        <f t="shared" si="14"/>
        <v>4.8999999999999998E-4</v>
      </c>
      <c r="AI15" s="40">
        <f t="shared" si="14"/>
        <v>2.5000000000000002E-6</v>
      </c>
      <c r="AJ15" s="38">
        <f t="shared" si="14"/>
        <v>9.6500000000000006E-3</v>
      </c>
      <c r="AK15" s="38">
        <f t="shared" si="14"/>
        <v>1.0399999999999999E-3</v>
      </c>
      <c r="AL15" s="29">
        <f t="shared" si="14"/>
        <v>9.99</v>
      </c>
      <c r="AM15" s="38">
        <f t="shared" si="14"/>
        <v>1.75E-3</v>
      </c>
      <c r="AN15" s="37">
        <f t="shared" si="14"/>
        <v>0.99399999999999999</v>
      </c>
    </row>
    <row r="16" spans="1:40">
      <c r="A16" s="14"/>
      <c r="B16" s="15" t="s">
        <v>102</v>
      </c>
      <c r="C16" s="29">
        <f t="shared" ref="C16:AN16" si="15">AVERAGE(C2:C13)</f>
        <v>4.8499999999999996</v>
      </c>
      <c r="D16" s="29">
        <f t="shared" si="15"/>
        <v>84.05</v>
      </c>
      <c r="E16" s="30">
        <f t="shared" si="15"/>
        <v>29.941666666666666</v>
      </c>
      <c r="F16" s="30">
        <f t="shared" si="15"/>
        <v>7.6008333333333331</v>
      </c>
      <c r="G16" s="29">
        <f t="shared" si="15"/>
        <v>3.0083333333333333</v>
      </c>
      <c r="H16" s="16">
        <f t="shared" si="15"/>
        <v>71.083333333333329</v>
      </c>
      <c r="I16" s="30">
        <f t="shared" si="15"/>
        <v>0.42583333333333334</v>
      </c>
      <c r="J16" s="31">
        <f t="shared" si="15"/>
        <v>1.9758333333333336E-2</v>
      </c>
      <c r="K16" s="31">
        <f t="shared" si="15"/>
        <v>7.5000000000000002E-4</v>
      </c>
      <c r="L16" s="30">
        <f t="shared" si="15"/>
        <v>13.4825</v>
      </c>
      <c r="M16" s="48">
        <f t="shared" si="15"/>
        <v>0</v>
      </c>
      <c r="N16" s="31">
        <f t="shared" si="15"/>
        <v>2.4999999999999996E-3</v>
      </c>
      <c r="O16" s="31">
        <f t="shared" si="15"/>
        <v>2.4999999999999996E-3</v>
      </c>
      <c r="P16" s="30">
        <f t="shared" si="15"/>
        <v>0.28166666666666668</v>
      </c>
      <c r="Q16" s="30">
        <f t="shared" si="15"/>
        <v>0.28166666666666668</v>
      </c>
      <c r="R16" s="31">
        <f t="shared" si="15"/>
        <v>3.8874999999999999E-4</v>
      </c>
      <c r="S16" s="31">
        <f t="shared" si="15"/>
        <v>4.5833333333333325E-3</v>
      </c>
      <c r="T16" s="38">
        <f t="shared" si="15"/>
        <v>9.2500000000000012E-5</v>
      </c>
      <c r="U16" s="39">
        <f t="shared" si="15"/>
        <v>2.4437333333333336E-3</v>
      </c>
      <c r="V16" s="38">
        <f t="shared" si="15"/>
        <v>4.791666666666668E-4</v>
      </c>
      <c r="W16" s="31">
        <f t="shared" si="15"/>
        <v>6.9375000000000006E-2</v>
      </c>
      <c r="X16" s="39">
        <f t="shared" si="15"/>
        <v>2.6000000000000005E-5</v>
      </c>
      <c r="Y16" s="39">
        <f t="shared" si="15"/>
        <v>2.0457499999999998E-3</v>
      </c>
      <c r="Z16" s="40">
        <f t="shared" si="15"/>
        <v>2.5000000000000002E-6</v>
      </c>
      <c r="AA16" s="39">
        <f t="shared" si="15"/>
        <v>1.1033333333333331E-3</v>
      </c>
      <c r="AB16" s="39">
        <f t="shared" si="15"/>
        <v>2.195E-4</v>
      </c>
      <c r="AC16" s="39">
        <f t="shared" si="15"/>
        <v>1.1908333333333335E-4</v>
      </c>
      <c r="AD16" s="40">
        <f t="shared" si="15"/>
        <v>4.5833333333333332E-6</v>
      </c>
      <c r="AE16" s="39">
        <f t="shared" si="15"/>
        <v>5.5541666666666662E-4</v>
      </c>
      <c r="AF16" s="31">
        <f t="shared" si="15"/>
        <v>1.4308333333333334E-3</v>
      </c>
      <c r="AG16" s="38">
        <f t="shared" si="15"/>
        <v>3.0508333333333335E-2</v>
      </c>
      <c r="AH16" s="38">
        <f t="shared" si="15"/>
        <v>3.4408333333333339E-4</v>
      </c>
      <c r="AI16" s="40">
        <f t="shared" si="15"/>
        <v>2.5000000000000002E-6</v>
      </c>
      <c r="AJ16" s="38">
        <f t="shared" si="15"/>
        <v>2.2824833333333337E-3</v>
      </c>
      <c r="AK16" s="38">
        <f t="shared" si="15"/>
        <v>4.7416666666666674E-4</v>
      </c>
      <c r="AL16" s="29">
        <f t="shared" si="15"/>
        <v>4.4700000000000006</v>
      </c>
      <c r="AM16" s="38">
        <f t="shared" si="15"/>
        <v>6.7500000000000014E-4</v>
      </c>
      <c r="AN16" s="37">
        <f t="shared" si="15"/>
        <v>0.37474999999999997</v>
      </c>
    </row>
    <row r="17" spans="1:40">
      <c r="A17" s="14"/>
      <c r="B17" s="15" t="s">
        <v>103</v>
      </c>
      <c r="C17" s="29">
        <f t="shared" ref="C17:AN17" si="16">_xlfn.STDEV.P(C2:C13)</f>
        <v>5.8869205305773695</v>
      </c>
      <c r="D17" s="29">
        <f t="shared" si="16"/>
        <v>40.325436554776864</v>
      </c>
      <c r="E17" s="30">
        <f t="shared" si="16"/>
        <v>12.504563056029678</v>
      </c>
      <c r="F17" s="30">
        <f t="shared" si="16"/>
        <v>0.14974747261825677</v>
      </c>
      <c r="G17" s="29">
        <f t="shared" si="16"/>
        <v>3.5975589717967869</v>
      </c>
      <c r="H17" s="16">
        <f t="shared" si="16"/>
        <v>25.975816744725382</v>
      </c>
      <c r="I17" s="30">
        <f t="shared" si="16"/>
        <v>0.5701382629581081</v>
      </c>
      <c r="J17" s="31">
        <f t="shared" si="16"/>
        <v>2.4357115946314779E-2</v>
      </c>
      <c r="K17" s="31">
        <f t="shared" si="16"/>
        <v>4.3301270189221935E-4</v>
      </c>
      <c r="L17" s="30">
        <f t="shared" si="16"/>
        <v>16.097145774432601</v>
      </c>
      <c r="M17" s="48">
        <f t="shared" si="16"/>
        <v>0</v>
      </c>
      <c r="N17" s="31">
        <f t="shared" si="16"/>
        <v>4.3368086899420177E-19</v>
      </c>
      <c r="O17" s="31">
        <f t="shared" si="16"/>
        <v>4.3368086899420177E-19</v>
      </c>
      <c r="P17" s="30">
        <f t="shared" si="16"/>
        <v>0.10502645169458771</v>
      </c>
      <c r="Q17" s="30">
        <f t="shared" si="16"/>
        <v>0.10502645169458771</v>
      </c>
      <c r="R17" s="31">
        <f t="shared" si="16"/>
        <v>8.391377022475711E-5</v>
      </c>
      <c r="S17" s="31">
        <f t="shared" si="16"/>
        <v>9.3169499062491234E-4</v>
      </c>
      <c r="T17" s="38">
        <f t="shared" si="16"/>
        <v>5.9739015726742606E-5</v>
      </c>
      <c r="U17" s="39">
        <f t="shared" si="16"/>
        <v>3.5586119478745576E-3</v>
      </c>
      <c r="V17" s="38">
        <f t="shared" si="16"/>
        <v>3.0200602459038605E-4</v>
      </c>
      <c r="W17" s="31">
        <f t="shared" si="16"/>
        <v>9.4370935894832919E-2</v>
      </c>
      <c r="X17" s="39">
        <f t="shared" si="16"/>
        <v>1.1474609652039007E-5</v>
      </c>
      <c r="Y17" s="39">
        <f t="shared" si="16"/>
        <v>2.9595000175986932E-3</v>
      </c>
      <c r="Z17" s="40">
        <f t="shared" si="16"/>
        <v>0</v>
      </c>
      <c r="AA17" s="39">
        <f t="shared" si="16"/>
        <v>3.4645883192988778E-4</v>
      </c>
      <c r="AB17" s="39">
        <f t="shared" si="16"/>
        <v>6.825991991400715E-5</v>
      </c>
      <c r="AC17" s="39">
        <f t="shared" si="16"/>
        <v>3.5422352484773731E-5</v>
      </c>
      <c r="AD17" s="40">
        <f t="shared" si="16"/>
        <v>9.3169499062491248E-7</v>
      </c>
      <c r="AE17" s="39">
        <f t="shared" si="16"/>
        <v>1.6513603399083502E-4</v>
      </c>
      <c r="AF17" s="31">
        <f t="shared" si="16"/>
        <v>2.3858815049275923E-4</v>
      </c>
      <c r="AG17" s="38">
        <f t="shared" si="16"/>
        <v>3.4400834736319337E-2</v>
      </c>
      <c r="AH17" s="38">
        <f t="shared" si="16"/>
        <v>6.9477164513881033E-5</v>
      </c>
      <c r="AI17" s="40">
        <f t="shared" si="16"/>
        <v>0</v>
      </c>
      <c r="AJ17" s="38">
        <f t="shared" si="16"/>
        <v>3.2984406681625931E-3</v>
      </c>
      <c r="AK17" s="38">
        <f t="shared" si="16"/>
        <v>1.9353976048576912E-4</v>
      </c>
      <c r="AL17" s="29">
        <f t="shared" si="16"/>
        <v>2.8469310962274195</v>
      </c>
      <c r="AM17" s="38">
        <f t="shared" si="16"/>
        <v>4.534589286804264E-4</v>
      </c>
      <c r="AN17" s="37">
        <f t="shared" si="16"/>
        <v>0.33079604113914868</v>
      </c>
    </row>
    <row r="18" spans="1:40" ht="12.75" customHeight="1">
      <c r="A18" s="17"/>
      <c r="B18" s="131" t="s">
        <v>112</v>
      </c>
      <c r="C18" s="130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30"/>
    </row>
    <row r="19" spans="1:40" ht="12.75" customHeight="1">
      <c r="A19" s="17"/>
      <c r="B19" s="130" t="s">
        <v>117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  <c r="AJ19" s="130"/>
      <c r="AK19" s="130"/>
      <c r="AL19" s="130"/>
      <c r="AM19" s="130"/>
      <c r="AN19" s="130"/>
    </row>
    <row r="20" spans="1:40" ht="12.75" customHeight="1">
      <c r="A20" s="17"/>
      <c r="B20" s="130" t="s">
        <v>114</v>
      </c>
      <c r="C20" s="130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  <c r="AN20" s="130"/>
    </row>
    <row r="21" spans="1:40" ht="12.75" customHeight="1">
      <c r="A21" s="17"/>
      <c r="B21" s="130" t="s">
        <v>108</v>
      </c>
      <c r="C21" s="130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  <c r="AM21" s="130"/>
      <c r="AN21" s="130"/>
    </row>
    <row r="22" spans="1:40" ht="12.75" customHeight="1">
      <c r="A22" s="18"/>
      <c r="B22" s="130" t="s">
        <v>115</v>
      </c>
      <c r="C22" s="130"/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  <c r="AN22" s="130"/>
    </row>
    <row r="23" spans="1:40" ht="12.75" customHeight="1"/>
  </sheetData>
  <mergeCells count="5">
    <mergeCell ref="B21:AN21"/>
    <mergeCell ref="B18:AN18"/>
    <mergeCell ref="B19:AN19"/>
    <mergeCell ref="B20:AN20"/>
    <mergeCell ref="B22:AN22"/>
  </mergeCells>
  <printOptions horizontalCentered="1"/>
  <pageMargins left="0.25" right="0.25" top="1.0833333333333299" bottom="0.75" header="0.3" footer="0.3"/>
  <pageSetup orientation="landscape" r:id="rId1"/>
  <headerFooter alignWithMargins="0">
    <oddHeader>&amp;LBarrick Gold Inc. - Nickel Plate Mine&amp;C&amp;"-,Regular"&amp;18
Table 14 - HEDLEY CREEK D-S DIFFUSER (E223874) Data&amp;RAnnual Report, 2017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23"/>
  <sheetViews>
    <sheetView view="pageLayout" zoomScaleNormal="100" workbookViewId="0">
      <selection activeCell="B33" sqref="B33"/>
    </sheetView>
  </sheetViews>
  <sheetFormatPr defaultColWidth="9.1328125" defaultRowHeight="15.75"/>
  <cols>
    <col min="1" max="1" width="22.59765625" style="19" bestFit="1" customWidth="1"/>
    <col min="2" max="2" width="10.1328125" style="23" bestFit="1" customWidth="1"/>
    <col min="3" max="7" width="5.73046875" style="19" bestFit="1" customWidth="1"/>
    <col min="8" max="8" width="4" style="19" bestFit="1" customWidth="1"/>
    <col min="9" max="9" width="5.73046875" style="19" bestFit="1" customWidth="1"/>
    <col min="10" max="10" width="8.1328125" style="19" bestFit="1" customWidth="1"/>
    <col min="11" max="11" width="7" style="81" bestFit="1" customWidth="1"/>
    <col min="12" max="12" width="5.73046875" style="19" bestFit="1" customWidth="1"/>
    <col min="13" max="13" width="4.265625" style="74" bestFit="1" customWidth="1"/>
    <col min="14" max="14" width="7" style="19" bestFit="1" customWidth="1"/>
    <col min="15" max="15" width="7" style="70" bestFit="1" customWidth="1"/>
    <col min="16" max="16" width="5.86328125" style="19" bestFit="1" customWidth="1"/>
    <col min="17" max="17" width="7.86328125" style="19" bestFit="1" customWidth="1"/>
    <col min="18" max="18" width="9.1328125" style="19" bestFit="1" customWidth="1"/>
    <col min="19" max="19" width="11.265625" style="19" bestFit="1" customWidth="1"/>
    <col min="20" max="20" width="9.1328125" style="19" bestFit="1" customWidth="1"/>
    <col min="21" max="21" width="8.86328125" style="78" bestFit="1" customWidth="1"/>
    <col min="22" max="16384" width="9.1328125" style="19"/>
  </cols>
  <sheetData>
    <row r="1" spans="1:21" ht="132">
      <c r="A1" s="1" t="s">
        <v>45</v>
      </c>
      <c r="B1" s="2" t="s">
        <v>46</v>
      </c>
      <c r="C1" s="5" t="s">
        <v>50</v>
      </c>
      <c r="D1" s="5" t="s">
        <v>51</v>
      </c>
      <c r="E1" s="68" t="s">
        <v>0</v>
      </c>
      <c r="F1" s="4" t="s">
        <v>52</v>
      </c>
      <c r="G1" s="68" t="s">
        <v>53</v>
      </c>
      <c r="H1" s="68" t="s">
        <v>54</v>
      </c>
      <c r="I1" s="5" t="s">
        <v>55</v>
      </c>
      <c r="J1" s="5" t="s">
        <v>56</v>
      </c>
      <c r="K1" s="80" t="s">
        <v>57</v>
      </c>
      <c r="L1" s="5" t="s">
        <v>59</v>
      </c>
      <c r="M1" s="73" t="s">
        <v>105</v>
      </c>
      <c r="N1" s="7" t="s">
        <v>60</v>
      </c>
      <c r="O1" s="67" t="s">
        <v>61</v>
      </c>
      <c r="P1" s="4" t="s">
        <v>62</v>
      </c>
      <c r="Q1" s="7" t="s">
        <v>71</v>
      </c>
      <c r="R1" s="10" t="s">
        <v>82</v>
      </c>
      <c r="S1" s="9" t="s">
        <v>85</v>
      </c>
      <c r="T1" s="10" t="s">
        <v>86</v>
      </c>
      <c r="U1" s="7" t="s">
        <v>95</v>
      </c>
    </row>
    <row r="2" spans="1:21">
      <c r="A2" s="20" t="s">
        <v>26</v>
      </c>
      <c r="B2" s="21">
        <v>42740.5</v>
      </c>
      <c r="C2" s="27">
        <v>-0.7</v>
      </c>
      <c r="D2" s="22">
        <v>56.3</v>
      </c>
      <c r="E2" s="22">
        <v>21.1</v>
      </c>
      <c r="F2" s="22">
        <v>7.59</v>
      </c>
      <c r="G2" s="24">
        <f>0.5* 3</f>
        <v>1.5</v>
      </c>
      <c r="H2" s="22">
        <v>62</v>
      </c>
      <c r="I2" s="22">
        <v>0.28000000000000003</v>
      </c>
      <c r="J2" s="24">
        <f t="shared" ref="J2:J13" si="0">0.5* 0.005</f>
        <v>2.5000000000000001E-3</v>
      </c>
      <c r="K2" s="42">
        <v>5.6399999999999999E-2</v>
      </c>
      <c r="L2" s="22">
        <v>2.4</v>
      </c>
      <c r="M2" s="47">
        <f>O2-N2</f>
        <v>0</v>
      </c>
      <c r="N2" s="49">
        <f>0.5* 0.005</f>
        <v>2.5000000000000001E-3</v>
      </c>
      <c r="O2" s="49">
        <f>0.5* 0.005</f>
        <v>2.5000000000000001E-3</v>
      </c>
      <c r="P2" s="24">
        <f>0.5* 0.5</f>
        <v>0.25</v>
      </c>
      <c r="Q2" s="22">
        <v>5.9400000000000001E-2</v>
      </c>
      <c r="R2" s="79">
        <v>2.7700000000000001E-4</v>
      </c>
      <c r="S2" s="22">
        <v>1.4399999999999999E-5</v>
      </c>
      <c r="T2" s="22">
        <v>3.6000000000000002E-4</v>
      </c>
      <c r="U2" s="76">
        <v>5.1999999999999995E-4</v>
      </c>
    </row>
    <row r="3" spans="1:21">
      <c r="A3" s="20" t="s">
        <v>26</v>
      </c>
      <c r="B3" s="21">
        <v>42774.5</v>
      </c>
      <c r="C3" s="27">
        <v>-0.7</v>
      </c>
      <c r="D3" s="22">
        <v>61.5</v>
      </c>
      <c r="E3" s="22">
        <v>23.7</v>
      </c>
      <c r="F3" s="22">
        <v>7.62</v>
      </c>
      <c r="G3" s="24">
        <f>0.5* 3</f>
        <v>1.5</v>
      </c>
      <c r="H3" s="22">
        <v>47</v>
      </c>
      <c r="I3" s="22">
        <v>0.33</v>
      </c>
      <c r="J3" s="24">
        <f t="shared" si="0"/>
        <v>2.5000000000000001E-3</v>
      </c>
      <c r="K3" s="42">
        <v>6.3799999999999996E-2</v>
      </c>
      <c r="L3" s="22">
        <v>2.77</v>
      </c>
      <c r="M3" s="47">
        <f t="shared" ref="M3:M13" si="1">O3-N3</f>
        <v>0</v>
      </c>
      <c r="N3" s="49">
        <f t="shared" ref="N3:O3" si="2">0.5* 0.005</f>
        <v>2.5000000000000001E-3</v>
      </c>
      <c r="O3" s="49">
        <f t="shared" si="2"/>
        <v>2.5000000000000001E-3</v>
      </c>
      <c r="P3" s="24">
        <f>0.5* 0.5</f>
        <v>0.25</v>
      </c>
      <c r="Q3" s="22">
        <v>3.5000000000000003E-2</v>
      </c>
      <c r="R3" s="79">
        <v>2.6600000000000001E-4</v>
      </c>
      <c r="S3" s="22">
        <v>1.9199999999999999E-5</v>
      </c>
      <c r="T3" s="22">
        <v>3.3E-4</v>
      </c>
      <c r="U3" s="77">
        <f>0.5* 0.0005</f>
        <v>2.5000000000000001E-4</v>
      </c>
    </row>
    <row r="4" spans="1:21">
      <c r="A4" s="20" t="s">
        <v>26</v>
      </c>
      <c r="B4" s="21">
        <v>42801.5</v>
      </c>
      <c r="C4" s="27">
        <v>-0.5</v>
      </c>
      <c r="D4" s="22">
        <v>61.9</v>
      </c>
      <c r="E4" s="22">
        <v>25.3</v>
      </c>
      <c r="F4" s="22">
        <v>7.66</v>
      </c>
      <c r="G4" s="24">
        <f>0.5* 3</f>
        <v>1.5</v>
      </c>
      <c r="H4" s="22">
        <v>55</v>
      </c>
      <c r="I4" s="22">
        <v>0.23</v>
      </c>
      <c r="J4" s="24">
        <f t="shared" si="0"/>
        <v>2.5000000000000001E-3</v>
      </c>
      <c r="K4" s="42">
        <v>5.9400000000000001E-2</v>
      </c>
      <c r="L4" s="22">
        <v>3.01</v>
      </c>
      <c r="M4" s="47">
        <f t="shared" si="1"/>
        <v>0</v>
      </c>
      <c r="N4" s="49">
        <f t="shared" ref="N4:O13" si="3">0.5* 0.005</f>
        <v>2.5000000000000001E-3</v>
      </c>
      <c r="O4" s="49">
        <f t="shared" si="3"/>
        <v>2.5000000000000001E-3</v>
      </c>
      <c r="P4" s="24">
        <f>0.5* 0.5</f>
        <v>0.25</v>
      </c>
      <c r="Q4" s="22">
        <v>3.4000000000000002E-2</v>
      </c>
      <c r="R4" s="79">
        <v>2.7E-4</v>
      </c>
      <c r="S4" s="24">
        <f t="shared" ref="S4:S13" si="4">0.5* 0.0001</f>
        <v>5.0000000000000002E-5</v>
      </c>
      <c r="T4" s="22">
        <v>2.9999999999999997E-4</v>
      </c>
      <c r="U4" s="77">
        <f t="shared" ref="U4:U13" si="5">0.5* 0.001</f>
        <v>5.0000000000000001E-4</v>
      </c>
    </row>
    <row r="5" spans="1:21">
      <c r="A5" s="20" t="s">
        <v>26</v>
      </c>
      <c r="B5" s="21">
        <v>42830.5</v>
      </c>
      <c r="C5" s="22">
        <v>2.8</v>
      </c>
      <c r="D5" s="22">
        <v>56.6</v>
      </c>
      <c r="E5" s="22">
        <v>24.9</v>
      </c>
      <c r="F5" s="22">
        <v>7.6</v>
      </c>
      <c r="G5" s="24">
        <f>0.5* 3</f>
        <v>1.5</v>
      </c>
      <c r="H5" s="22">
        <v>48</v>
      </c>
      <c r="I5" s="22">
        <v>0.44</v>
      </c>
      <c r="J5" s="24">
        <f t="shared" si="0"/>
        <v>2.5000000000000001E-3</v>
      </c>
      <c r="K5" s="42">
        <v>1.0200000000000001E-2</v>
      </c>
      <c r="L5" s="22">
        <v>2.96</v>
      </c>
      <c r="M5" s="47">
        <f t="shared" si="1"/>
        <v>0</v>
      </c>
      <c r="N5" s="49">
        <f t="shared" si="3"/>
        <v>2.5000000000000001E-3</v>
      </c>
      <c r="O5" s="49">
        <f t="shared" si="3"/>
        <v>2.5000000000000001E-3</v>
      </c>
      <c r="P5" s="24">
        <f>0.5* 0.5</f>
        <v>0.25</v>
      </c>
      <c r="Q5" s="22">
        <v>8.6999999999999994E-2</v>
      </c>
      <c r="R5" s="79">
        <v>3.1E-4</v>
      </c>
      <c r="S5" s="24">
        <f t="shared" si="4"/>
        <v>5.0000000000000002E-5</v>
      </c>
      <c r="T5" s="22">
        <v>4.8999999999999998E-4</v>
      </c>
      <c r="U5" s="77">
        <f t="shared" si="5"/>
        <v>5.0000000000000001E-4</v>
      </c>
    </row>
    <row r="6" spans="1:21">
      <c r="A6" s="20" t="s">
        <v>26</v>
      </c>
      <c r="B6" s="21">
        <v>42858</v>
      </c>
      <c r="C6" s="22">
        <v>5.2</v>
      </c>
      <c r="D6" s="22">
        <v>44.6</v>
      </c>
      <c r="E6" s="22">
        <v>16.899999999999999</v>
      </c>
      <c r="F6" s="22">
        <v>7.46</v>
      </c>
      <c r="G6" s="22">
        <v>6.2</v>
      </c>
      <c r="H6" s="22">
        <v>54</v>
      </c>
      <c r="I6" s="22">
        <v>2.3199999999999998</v>
      </c>
      <c r="J6" s="24">
        <f t="shared" si="0"/>
        <v>2.5000000000000001E-3</v>
      </c>
      <c r="K6" s="42">
        <v>3.3300000000000003E-2</v>
      </c>
      <c r="L6" s="22">
        <v>1.27</v>
      </c>
      <c r="M6" s="47">
        <f t="shared" si="1"/>
        <v>0</v>
      </c>
      <c r="N6" s="49">
        <f t="shared" si="3"/>
        <v>2.5000000000000001E-3</v>
      </c>
      <c r="O6" s="49">
        <f t="shared" si="3"/>
        <v>2.5000000000000001E-3</v>
      </c>
      <c r="P6" s="24">
        <f>0.5* 0.5</f>
        <v>0.25</v>
      </c>
      <c r="Q6" s="22">
        <v>0.31</v>
      </c>
      <c r="R6" s="79">
        <v>3.2000000000000003E-4</v>
      </c>
      <c r="S6" s="24">
        <f t="shared" si="4"/>
        <v>5.0000000000000002E-5</v>
      </c>
      <c r="T6" s="22">
        <v>9.7999999999999997E-4</v>
      </c>
      <c r="U6" s="77">
        <f t="shared" si="5"/>
        <v>5.0000000000000001E-4</v>
      </c>
    </row>
    <row r="7" spans="1:21">
      <c r="A7" s="20" t="s">
        <v>26</v>
      </c>
      <c r="B7" s="21">
        <v>42893.5</v>
      </c>
      <c r="C7" s="22">
        <v>9.5</v>
      </c>
      <c r="D7" s="22">
        <v>30.1</v>
      </c>
      <c r="E7" s="22">
        <v>12.8</v>
      </c>
      <c r="F7" s="22">
        <v>7.3</v>
      </c>
      <c r="G7" s="22">
        <v>35.5</v>
      </c>
      <c r="H7" s="22">
        <v>43</v>
      </c>
      <c r="I7" s="22">
        <v>0.62</v>
      </c>
      <c r="J7" s="24">
        <f t="shared" si="0"/>
        <v>2.5000000000000001E-3</v>
      </c>
      <c r="K7" s="49">
        <f t="shared" ref="K7:K13" si="6">0.5* 0.005</f>
        <v>2.5000000000000001E-3</v>
      </c>
      <c r="L7" s="22">
        <v>1.48</v>
      </c>
      <c r="M7" s="47">
        <f t="shared" si="1"/>
        <v>0</v>
      </c>
      <c r="N7" s="49">
        <f t="shared" si="3"/>
        <v>2.5000000000000001E-3</v>
      </c>
      <c r="O7" s="49">
        <f t="shared" si="3"/>
        <v>2.5000000000000001E-3</v>
      </c>
      <c r="P7" s="22">
        <v>0.72</v>
      </c>
      <c r="Q7" s="22">
        <v>0.13700000000000001</v>
      </c>
      <c r="R7" s="79">
        <v>3.3E-4</v>
      </c>
      <c r="S7" s="24">
        <f t="shared" si="4"/>
        <v>5.0000000000000002E-5</v>
      </c>
      <c r="T7" s="22">
        <v>7.3999999999999999E-4</v>
      </c>
      <c r="U7" s="77">
        <f t="shared" si="5"/>
        <v>5.0000000000000001E-4</v>
      </c>
    </row>
    <row r="8" spans="1:21">
      <c r="A8" s="20" t="s">
        <v>26</v>
      </c>
      <c r="B8" s="21">
        <v>42921.5</v>
      </c>
      <c r="C8" s="22">
        <v>11.2</v>
      </c>
      <c r="D8" s="22">
        <v>45.2</v>
      </c>
      <c r="E8" s="22">
        <v>17.2</v>
      </c>
      <c r="F8" s="22">
        <v>7.45</v>
      </c>
      <c r="G8" s="24">
        <f>0.5* 3</f>
        <v>1.5</v>
      </c>
      <c r="H8" s="22">
        <v>51</v>
      </c>
      <c r="I8" s="22">
        <v>0.23</v>
      </c>
      <c r="J8" s="24">
        <f t="shared" si="0"/>
        <v>2.5000000000000001E-3</v>
      </c>
      <c r="K8" s="49">
        <f t="shared" si="6"/>
        <v>2.5000000000000001E-3</v>
      </c>
      <c r="L8" s="22">
        <v>1.61</v>
      </c>
      <c r="M8" s="47">
        <f t="shared" si="1"/>
        <v>0</v>
      </c>
      <c r="N8" s="49">
        <f t="shared" si="3"/>
        <v>2.5000000000000001E-3</v>
      </c>
      <c r="O8" s="49">
        <f t="shared" si="3"/>
        <v>2.5000000000000001E-3</v>
      </c>
      <c r="P8" s="24">
        <f t="shared" ref="P8:P13" si="7">0.5* 0.5</f>
        <v>0.25</v>
      </c>
      <c r="Q8" s="22">
        <v>0.05</v>
      </c>
      <c r="R8" s="79">
        <v>2.9E-4</v>
      </c>
      <c r="S8" s="24">
        <f t="shared" si="4"/>
        <v>5.0000000000000002E-5</v>
      </c>
      <c r="T8" s="22">
        <v>4.8000000000000001E-4</v>
      </c>
      <c r="U8" s="77">
        <f t="shared" si="5"/>
        <v>5.0000000000000001E-4</v>
      </c>
    </row>
    <row r="9" spans="1:21">
      <c r="A9" s="20" t="s">
        <v>26</v>
      </c>
      <c r="B9" s="21">
        <v>42949</v>
      </c>
      <c r="C9" s="22">
        <v>14.9</v>
      </c>
      <c r="D9" s="22">
        <v>59.7</v>
      </c>
      <c r="E9" s="22">
        <v>24.3</v>
      </c>
      <c r="F9" s="22">
        <v>7.68</v>
      </c>
      <c r="G9" s="24">
        <f>0.5* 3</f>
        <v>1.5</v>
      </c>
      <c r="H9" s="22">
        <v>60</v>
      </c>
      <c r="I9" s="22">
        <v>0.25</v>
      </c>
      <c r="J9" s="24">
        <f t="shared" si="0"/>
        <v>2.5000000000000001E-3</v>
      </c>
      <c r="K9" s="49">
        <f t="shared" si="6"/>
        <v>2.5000000000000001E-3</v>
      </c>
      <c r="L9" s="22">
        <v>2.75</v>
      </c>
      <c r="M9" s="47">
        <f t="shared" si="1"/>
        <v>0</v>
      </c>
      <c r="N9" s="49">
        <f t="shared" si="3"/>
        <v>2.5000000000000001E-3</v>
      </c>
      <c r="O9" s="49">
        <f t="shared" si="3"/>
        <v>2.5000000000000001E-3</v>
      </c>
      <c r="P9" s="24">
        <f t="shared" si="7"/>
        <v>0.25</v>
      </c>
      <c r="Q9" s="22">
        <v>1.4E-2</v>
      </c>
      <c r="R9" s="79">
        <v>4.0999999999999999E-4</v>
      </c>
      <c r="S9" s="24">
        <f t="shared" si="4"/>
        <v>5.0000000000000002E-5</v>
      </c>
      <c r="T9" s="22">
        <v>4.6999999999999999E-4</v>
      </c>
      <c r="U9" s="77">
        <f t="shared" si="5"/>
        <v>5.0000000000000001E-4</v>
      </c>
    </row>
    <row r="10" spans="1:21">
      <c r="A10" s="20" t="s">
        <v>26</v>
      </c>
      <c r="B10" s="21">
        <v>42984</v>
      </c>
      <c r="C10" s="22">
        <v>14.2</v>
      </c>
      <c r="D10" s="22">
        <v>65.2</v>
      </c>
      <c r="E10" s="22">
        <v>26.9</v>
      </c>
      <c r="F10" s="22">
        <v>7.78</v>
      </c>
      <c r="G10" s="24">
        <f>0.5* 3</f>
        <v>1.5</v>
      </c>
      <c r="H10" s="22">
        <v>59</v>
      </c>
      <c r="I10" s="22">
        <v>0.15</v>
      </c>
      <c r="J10" s="24">
        <f t="shared" si="0"/>
        <v>2.5000000000000001E-3</v>
      </c>
      <c r="K10" s="49">
        <f t="shared" si="6"/>
        <v>2.5000000000000001E-3</v>
      </c>
      <c r="L10" s="22">
        <v>3.22</v>
      </c>
      <c r="M10" s="47">
        <f t="shared" si="1"/>
        <v>0</v>
      </c>
      <c r="N10" s="49">
        <f t="shared" si="3"/>
        <v>2.5000000000000001E-3</v>
      </c>
      <c r="O10" s="49">
        <f t="shared" si="3"/>
        <v>2.5000000000000001E-3</v>
      </c>
      <c r="P10" s="24">
        <f t="shared" si="7"/>
        <v>0.25</v>
      </c>
      <c r="Q10" s="22">
        <v>2.4E-2</v>
      </c>
      <c r="R10" s="79">
        <v>4.6000000000000001E-4</v>
      </c>
      <c r="S10" s="24">
        <f t="shared" si="4"/>
        <v>5.0000000000000002E-5</v>
      </c>
      <c r="T10" s="22">
        <v>3.3E-4</v>
      </c>
      <c r="U10" s="77">
        <f t="shared" si="5"/>
        <v>5.0000000000000001E-4</v>
      </c>
    </row>
    <row r="11" spans="1:21">
      <c r="A11" s="20" t="s">
        <v>26</v>
      </c>
      <c r="B11" s="21">
        <v>43012</v>
      </c>
      <c r="C11" s="22">
        <v>4</v>
      </c>
      <c r="D11" s="22">
        <v>66.7</v>
      </c>
      <c r="E11" s="22">
        <v>28.1</v>
      </c>
      <c r="F11" s="22">
        <v>7.68</v>
      </c>
      <c r="G11" s="22">
        <v>45.3</v>
      </c>
      <c r="H11" s="22">
        <v>61</v>
      </c>
      <c r="I11" s="22">
        <v>0.16</v>
      </c>
      <c r="J11" s="24">
        <f t="shared" si="0"/>
        <v>2.5000000000000001E-3</v>
      </c>
      <c r="K11" s="49">
        <f t="shared" si="6"/>
        <v>2.5000000000000001E-3</v>
      </c>
      <c r="L11" s="22">
        <v>3.39</v>
      </c>
      <c r="M11" s="47">
        <f t="shared" si="1"/>
        <v>0</v>
      </c>
      <c r="N11" s="49">
        <f t="shared" si="3"/>
        <v>2.5000000000000001E-3</v>
      </c>
      <c r="O11" s="49">
        <f t="shared" si="3"/>
        <v>2.5000000000000001E-3</v>
      </c>
      <c r="P11" s="24">
        <f t="shared" si="7"/>
        <v>0.25</v>
      </c>
      <c r="Q11" s="24">
        <f>0.5* 0.01</f>
        <v>5.0000000000000001E-3</v>
      </c>
      <c r="R11" s="79">
        <v>3.1E-4</v>
      </c>
      <c r="S11" s="24">
        <f t="shared" si="4"/>
        <v>5.0000000000000002E-5</v>
      </c>
      <c r="T11" s="22">
        <v>2.7E-4</v>
      </c>
      <c r="U11" s="77">
        <f t="shared" si="5"/>
        <v>5.0000000000000001E-4</v>
      </c>
    </row>
    <row r="12" spans="1:21">
      <c r="A12" s="20" t="s">
        <v>26</v>
      </c>
      <c r="B12" s="21">
        <v>43047.5</v>
      </c>
      <c r="C12" s="22">
        <v>-0.5</v>
      </c>
      <c r="D12" s="22">
        <v>68.099999999999994</v>
      </c>
      <c r="E12" s="22">
        <v>31.1</v>
      </c>
      <c r="F12" s="22">
        <v>7.8</v>
      </c>
      <c r="G12" s="24">
        <f>0.5* 3</f>
        <v>1.5</v>
      </c>
      <c r="H12" s="22">
        <v>58</v>
      </c>
      <c r="I12" s="22">
        <v>0.12</v>
      </c>
      <c r="J12" s="24">
        <f t="shared" si="0"/>
        <v>2.5000000000000001E-3</v>
      </c>
      <c r="K12" s="49">
        <f t="shared" si="6"/>
        <v>2.5000000000000001E-3</v>
      </c>
      <c r="L12" s="22">
        <v>4.18</v>
      </c>
      <c r="M12" s="47">
        <f t="shared" si="1"/>
        <v>0</v>
      </c>
      <c r="N12" s="49">
        <f t="shared" si="3"/>
        <v>2.5000000000000001E-3</v>
      </c>
      <c r="O12" s="49">
        <f t="shared" si="3"/>
        <v>2.5000000000000001E-3</v>
      </c>
      <c r="P12" s="24">
        <f t="shared" si="7"/>
        <v>0.25</v>
      </c>
      <c r="Q12" s="24">
        <f>0.5* 0.01</f>
        <v>5.0000000000000001E-3</v>
      </c>
      <c r="R12" s="79">
        <v>3.5E-4</v>
      </c>
      <c r="S12" s="24">
        <f t="shared" si="4"/>
        <v>5.0000000000000002E-5</v>
      </c>
      <c r="T12" s="22">
        <v>6.8000000000000005E-4</v>
      </c>
      <c r="U12" s="77">
        <f t="shared" si="5"/>
        <v>5.0000000000000001E-4</v>
      </c>
    </row>
    <row r="13" spans="1:21">
      <c r="A13" s="20" t="s">
        <v>26</v>
      </c>
      <c r="B13" s="21">
        <v>43075.5</v>
      </c>
      <c r="C13" s="22">
        <v>-1.1000000000000001</v>
      </c>
      <c r="D13" s="22">
        <v>59.7</v>
      </c>
      <c r="E13" s="22">
        <v>24.8</v>
      </c>
      <c r="F13" s="22">
        <v>7.58</v>
      </c>
      <c r="G13" s="24">
        <f>0.5* 3</f>
        <v>1.5</v>
      </c>
      <c r="H13" s="22">
        <v>56</v>
      </c>
      <c r="I13" s="22">
        <v>0.26</v>
      </c>
      <c r="J13" s="24">
        <f t="shared" si="0"/>
        <v>2.5000000000000001E-3</v>
      </c>
      <c r="K13" s="49">
        <f t="shared" si="6"/>
        <v>2.5000000000000001E-3</v>
      </c>
      <c r="L13" s="22">
        <v>3.76</v>
      </c>
      <c r="M13" s="47">
        <f t="shared" si="1"/>
        <v>0</v>
      </c>
      <c r="N13" s="49">
        <f t="shared" si="3"/>
        <v>2.5000000000000001E-3</v>
      </c>
      <c r="O13" s="49">
        <f t="shared" si="3"/>
        <v>2.5000000000000001E-3</v>
      </c>
      <c r="P13" s="24">
        <f t="shared" si="7"/>
        <v>0.25</v>
      </c>
      <c r="Q13" s="22">
        <v>0.04</v>
      </c>
      <c r="R13" s="79">
        <v>2.9999999999999997E-4</v>
      </c>
      <c r="S13" s="24">
        <f t="shared" si="4"/>
        <v>5.0000000000000002E-5</v>
      </c>
      <c r="T13" s="22">
        <v>5.0000000000000001E-4</v>
      </c>
      <c r="U13" s="77">
        <f t="shared" si="5"/>
        <v>5.0000000000000001E-4</v>
      </c>
    </row>
    <row r="14" spans="1:21">
      <c r="A14" s="14"/>
      <c r="B14" s="15" t="s">
        <v>100</v>
      </c>
      <c r="C14" s="118">
        <f t="shared" ref="C14:U14" si="8">MIN(C2:C13)</f>
        <v>-1.1000000000000001</v>
      </c>
      <c r="D14" s="29">
        <f t="shared" si="8"/>
        <v>30.1</v>
      </c>
      <c r="E14" s="29">
        <f t="shared" si="8"/>
        <v>12.8</v>
      </c>
      <c r="F14" s="30">
        <f t="shared" si="8"/>
        <v>7.3</v>
      </c>
      <c r="G14" s="29">
        <f t="shared" si="8"/>
        <v>1.5</v>
      </c>
      <c r="H14" s="16">
        <f t="shared" si="8"/>
        <v>43</v>
      </c>
      <c r="I14" s="30">
        <f t="shared" si="8"/>
        <v>0.12</v>
      </c>
      <c r="J14" s="31">
        <f t="shared" si="8"/>
        <v>2.5000000000000001E-3</v>
      </c>
      <c r="K14" s="46">
        <f t="shared" si="8"/>
        <v>2.5000000000000001E-3</v>
      </c>
      <c r="L14" s="30">
        <f t="shared" si="8"/>
        <v>1.27</v>
      </c>
      <c r="M14" s="48">
        <f t="shared" si="8"/>
        <v>0</v>
      </c>
      <c r="N14" s="46">
        <f t="shared" si="8"/>
        <v>2.5000000000000001E-3</v>
      </c>
      <c r="O14" s="46">
        <f t="shared" si="8"/>
        <v>2.5000000000000001E-3</v>
      </c>
      <c r="P14" s="30">
        <f t="shared" si="8"/>
        <v>0.25</v>
      </c>
      <c r="Q14" s="37">
        <f t="shared" si="8"/>
        <v>5.0000000000000001E-3</v>
      </c>
      <c r="R14" s="38">
        <f t="shared" si="8"/>
        <v>2.6600000000000001E-4</v>
      </c>
      <c r="S14" s="39">
        <f t="shared" si="8"/>
        <v>1.4399999999999999E-5</v>
      </c>
      <c r="T14" s="38">
        <f t="shared" si="8"/>
        <v>2.7E-4</v>
      </c>
      <c r="U14" s="31">
        <f t="shared" si="8"/>
        <v>2.5000000000000001E-4</v>
      </c>
    </row>
    <row r="15" spans="1:21">
      <c r="A15" s="14"/>
      <c r="B15" s="15" t="s">
        <v>101</v>
      </c>
      <c r="C15" s="29">
        <f t="shared" ref="C15:U15" si="9">MAX(C2:C13)</f>
        <v>14.9</v>
      </c>
      <c r="D15" s="29">
        <f t="shared" si="9"/>
        <v>68.099999999999994</v>
      </c>
      <c r="E15" s="29">
        <f t="shared" si="9"/>
        <v>31.1</v>
      </c>
      <c r="F15" s="30">
        <f t="shared" si="9"/>
        <v>7.8</v>
      </c>
      <c r="G15" s="29">
        <f t="shared" si="9"/>
        <v>45.3</v>
      </c>
      <c r="H15" s="16">
        <f t="shared" si="9"/>
        <v>62</v>
      </c>
      <c r="I15" s="30">
        <f t="shared" si="9"/>
        <v>2.3199999999999998</v>
      </c>
      <c r="J15" s="31">
        <f t="shared" si="9"/>
        <v>2.5000000000000001E-3</v>
      </c>
      <c r="K15" s="46">
        <f t="shared" si="9"/>
        <v>6.3799999999999996E-2</v>
      </c>
      <c r="L15" s="30">
        <f t="shared" si="9"/>
        <v>4.18</v>
      </c>
      <c r="M15" s="48">
        <f t="shared" si="9"/>
        <v>0</v>
      </c>
      <c r="N15" s="46">
        <f t="shared" si="9"/>
        <v>2.5000000000000001E-3</v>
      </c>
      <c r="O15" s="46">
        <f t="shared" si="9"/>
        <v>2.5000000000000001E-3</v>
      </c>
      <c r="P15" s="30">
        <f t="shared" si="9"/>
        <v>0.72</v>
      </c>
      <c r="Q15" s="37">
        <f t="shared" si="9"/>
        <v>0.31</v>
      </c>
      <c r="R15" s="38">
        <f t="shared" si="9"/>
        <v>4.6000000000000001E-4</v>
      </c>
      <c r="S15" s="39">
        <f t="shared" si="9"/>
        <v>5.0000000000000002E-5</v>
      </c>
      <c r="T15" s="38">
        <f t="shared" si="9"/>
        <v>9.7999999999999997E-4</v>
      </c>
      <c r="U15" s="31">
        <f t="shared" si="9"/>
        <v>5.1999999999999995E-4</v>
      </c>
    </row>
    <row r="16" spans="1:21">
      <c r="A16" s="14"/>
      <c r="B16" s="15" t="s">
        <v>102</v>
      </c>
      <c r="C16" s="29">
        <f t="shared" ref="C16:U16" si="10">AVERAGE(C2:C13)</f>
        <v>4.8583333333333325</v>
      </c>
      <c r="D16" s="29">
        <f t="shared" si="10"/>
        <v>56.300000000000004</v>
      </c>
      <c r="E16" s="29">
        <f t="shared" si="10"/>
        <v>23.091666666666669</v>
      </c>
      <c r="F16" s="30">
        <f t="shared" si="10"/>
        <v>7.5999999999999988</v>
      </c>
      <c r="G16" s="29">
        <f t="shared" si="10"/>
        <v>8.375</v>
      </c>
      <c r="H16" s="16">
        <f t="shared" si="10"/>
        <v>54.5</v>
      </c>
      <c r="I16" s="30">
        <f t="shared" si="10"/>
        <v>0.44916666666666671</v>
      </c>
      <c r="J16" s="31">
        <f t="shared" si="10"/>
        <v>2.4999999999999996E-3</v>
      </c>
      <c r="K16" s="46">
        <f t="shared" si="10"/>
        <v>2.0050000000000002E-2</v>
      </c>
      <c r="L16" s="30">
        <f t="shared" si="10"/>
        <v>2.7333333333333329</v>
      </c>
      <c r="M16" s="48">
        <f t="shared" si="10"/>
        <v>0</v>
      </c>
      <c r="N16" s="46">
        <f t="shared" si="10"/>
        <v>2.4999999999999996E-3</v>
      </c>
      <c r="O16" s="46">
        <f t="shared" si="10"/>
        <v>2.4999999999999996E-3</v>
      </c>
      <c r="P16" s="30">
        <f t="shared" si="10"/>
        <v>0.28916666666666663</v>
      </c>
      <c r="Q16" s="37">
        <f t="shared" si="10"/>
        <v>6.6700000000000009E-2</v>
      </c>
      <c r="R16" s="38">
        <f t="shared" si="10"/>
        <v>3.244166666666667E-4</v>
      </c>
      <c r="S16" s="39">
        <f t="shared" si="10"/>
        <v>4.4466666666666672E-5</v>
      </c>
      <c r="T16" s="38">
        <f t="shared" si="10"/>
        <v>4.9416666666666663E-4</v>
      </c>
      <c r="U16" s="31">
        <f t="shared" si="10"/>
        <v>4.8083333333333338E-4</v>
      </c>
    </row>
    <row r="17" spans="1:21">
      <c r="A17" s="14"/>
      <c r="B17" s="15" t="s">
        <v>103</v>
      </c>
      <c r="C17" s="29">
        <f t="shared" ref="C17:U17" si="11">_xlfn.STDEV.P(C2:C13)</f>
        <v>5.8428672090183804</v>
      </c>
      <c r="D17" s="29">
        <f t="shared" si="11"/>
        <v>10.625284309921586</v>
      </c>
      <c r="E17" s="29">
        <f t="shared" si="11"/>
        <v>4.9962416430308325</v>
      </c>
      <c r="F17" s="30">
        <f t="shared" si="11"/>
        <v>0.1359534233968874</v>
      </c>
      <c r="G17" s="29">
        <f t="shared" si="11"/>
        <v>14.518214134895059</v>
      </c>
      <c r="H17" s="16">
        <f t="shared" si="11"/>
        <v>5.8238017365520491</v>
      </c>
      <c r="I17" s="30">
        <f t="shared" si="11"/>
        <v>0.5791582733204762</v>
      </c>
      <c r="J17" s="31">
        <f t="shared" si="11"/>
        <v>4.3368086899420177E-19</v>
      </c>
      <c r="K17" s="46">
        <f t="shared" si="11"/>
        <v>2.4515998178060504E-2</v>
      </c>
      <c r="L17" s="30">
        <f t="shared" si="11"/>
        <v>0.86745156765217857</v>
      </c>
      <c r="M17" s="48">
        <f t="shared" si="11"/>
        <v>0</v>
      </c>
      <c r="N17" s="46">
        <f t="shared" si="11"/>
        <v>4.3368086899420177E-19</v>
      </c>
      <c r="O17" s="46">
        <f t="shared" si="11"/>
        <v>4.3368086899420177E-19</v>
      </c>
      <c r="P17" s="30">
        <f t="shared" si="11"/>
        <v>0.12990113762225319</v>
      </c>
      <c r="Q17" s="37">
        <f t="shared" si="11"/>
        <v>8.1589766515170248E-2</v>
      </c>
      <c r="R17" s="38">
        <f t="shared" si="11"/>
        <v>5.5700775478344007E-5</v>
      </c>
      <c r="S17" s="39">
        <f t="shared" si="11"/>
        <v>1.2411643279150788E-5</v>
      </c>
      <c r="T17" s="38">
        <f t="shared" si="11"/>
        <v>2.0242110946132953E-4</v>
      </c>
      <c r="U17" s="31">
        <f t="shared" si="11"/>
        <v>6.9816227021771618E-5</v>
      </c>
    </row>
    <row r="18" spans="1:21" ht="12.75" customHeight="1">
      <c r="A18" s="17"/>
      <c r="B18" s="131" t="s">
        <v>112</v>
      </c>
      <c r="C18" s="130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</row>
    <row r="19" spans="1:21" ht="12.75" customHeight="1">
      <c r="A19" s="17"/>
      <c r="B19" s="130" t="s">
        <v>117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</row>
    <row r="20" spans="1:21" ht="12.75" customHeight="1">
      <c r="A20" s="17"/>
      <c r="B20" s="130" t="s">
        <v>114</v>
      </c>
      <c r="C20" s="130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</row>
    <row r="21" spans="1:21" ht="12.75" customHeight="1">
      <c r="A21" s="17"/>
      <c r="B21" s="130" t="s">
        <v>108</v>
      </c>
      <c r="C21" s="130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</row>
    <row r="22" spans="1:21" ht="12.75" customHeight="1">
      <c r="A22" s="18"/>
      <c r="B22" s="130" t="s">
        <v>115</v>
      </c>
      <c r="C22" s="130"/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</row>
    <row r="23" spans="1:21" ht="12.75" customHeight="1"/>
  </sheetData>
  <mergeCells count="5">
    <mergeCell ref="B22:U22"/>
    <mergeCell ref="B18:U18"/>
    <mergeCell ref="B19:U19"/>
    <mergeCell ref="B20:U20"/>
    <mergeCell ref="B21:U21"/>
  </mergeCells>
  <printOptions horizontalCentered="1"/>
  <pageMargins left="0.25" right="0.25" top="1.0833333333333299" bottom="0.75" header="0.3" footer="0.3"/>
  <pageSetup orientation="landscape" r:id="rId1"/>
  <headerFooter alignWithMargins="0">
    <oddHeader>&amp;LBarrick Gold Inc. - Nickel Plate Mine&amp;C&amp;"-,Regular"&amp;18
Table 15 - HEDLEY CREEK U-S DIFFUSER (E223873) Data&amp;RAnnual Report, 2017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W38"/>
  <sheetViews>
    <sheetView zoomScaleNormal="100" workbookViewId="0">
      <selection activeCell="B33" sqref="B33"/>
    </sheetView>
  </sheetViews>
  <sheetFormatPr defaultColWidth="9.1328125" defaultRowHeight="15.75"/>
  <cols>
    <col min="1" max="1" width="23.3984375" style="19" customWidth="1"/>
    <col min="2" max="2" width="11" style="23" bestFit="1" customWidth="1"/>
    <col min="3" max="3" width="6.1328125" style="19" bestFit="1" customWidth="1"/>
    <col min="4" max="4" width="8.59765625" style="19" bestFit="1" customWidth="1"/>
    <col min="5" max="5" width="9.73046875" style="19" bestFit="1" customWidth="1"/>
    <col min="6" max="6" width="5.73046875" style="19" bestFit="1" customWidth="1"/>
    <col min="7" max="7" width="6.86328125" style="19" bestFit="1" customWidth="1"/>
    <col min="8" max="8" width="5.73046875" style="19" bestFit="1" customWidth="1"/>
    <col min="9" max="10" width="8" style="19" bestFit="1" customWidth="1"/>
    <col min="11" max="11" width="9.73046875" style="19" bestFit="1" customWidth="1"/>
    <col min="12" max="12" width="8.1328125" style="74" bestFit="1" customWidth="1"/>
    <col min="13" max="13" width="8.1328125" style="19" bestFit="1" customWidth="1"/>
    <col min="14" max="14" width="8" style="19" bestFit="1" customWidth="1"/>
    <col min="15" max="15" width="5.86328125" style="19" bestFit="1" customWidth="1"/>
    <col min="16" max="16" width="9" style="19" bestFit="1" customWidth="1"/>
    <col min="17" max="17" width="9.1328125" style="19" bestFit="1" customWidth="1"/>
    <col min="18" max="18" width="8" style="19" bestFit="1" customWidth="1"/>
    <col min="19" max="19" width="9.1328125" style="19" bestFit="1" customWidth="1"/>
    <col min="20" max="20" width="6.86328125" style="19" bestFit="1" customWidth="1"/>
    <col min="21" max="21" width="9.1328125" style="19" bestFit="1" customWidth="1"/>
    <col min="22" max="22" width="8" style="19" bestFit="1" customWidth="1"/>
    <col min="23" max="23" width="9.1328125" style="19" bestFit="1" customWidth="1"/>
    <col min="24" max="16384" width="9.1328125" style="19"/>
  </cols>
  <sheetData>
    <row r="1" spans="1:23" s="99" customFormat="1" ht="91.5">
      <c r="A1" s="121" t="s">
        <v>45</v>
      </c>
      <c r="B1" s="94" t="s">
        <v>46</v>
      </c>
      <c r="C1" s="95" t="s">
        <v>50</v>
      </c>
      <c r="D1" s="95" t="s">
        <v>51</v>
      </c>
      <c r="E1" s="96" t="s">
        <v>0</v>
      </c>
      <c r="F1" s="97" t="s">
        <v>52</v>
      </c>
      <c r="G1" s="96" t="s">
        <v>54</v>
      </c>
      <c r="H1" s="95" t="s">
        <v>55</v>
      </c>
      <c r="I1" s="95" t="s">
        <v>56</v>
      </c>
      <c r="J1" s="98" t="s">
        <v>57</v>
      </c>
      <c r="K1" s="95" t="s">
        <v>59</v>
      </c>
      <c r="L1" s="122" t="s">
        <v>105</v>
      </c>
      <c r="M1" s="98" t="s">
        <v>60</v>
      </c>
      <c r="N1" s="98" t="s">
        <v>61</v>
      </c>
      <c r="O1" s="97" t="s">
        <v>62</v>
      </c>
      <c r="P1" s="123" t="s">
        <v>65</v>
      </c>
      <c r="Q1" s="124" t="s">
        <v>70</v>
      </c>
      <c r="R1" s="98" t="s">
        <v>71</v>
      </c>
      <c r="S1" s="124" t="s">
        <v>82</v>
      </c>
      <c r="T1" s="125" t="s">
        <v>85</v>
      </c>
      <c r="U1" s="124" t="s">
        <v>86</v>
      </c>
      <c r="V1" s="98" t="s">
        <v>87</v>
      </c>
      <c r="W1" s="124" t="s">
        <v>95</v>
      </c>
    </row>
    <row r="2" spans="1:23">
      <c r="A2" s="20" t="s">
        <v>11</v>
      </c>
      <c r="B2" s="136" t="s">
        <v>120</v>
      </c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8"/>
    </row>
    <row r="3" spans="1:23">
      <c r="A3" s="20" t="s">
        <v>11</v>
      </c>
      <c r="B3" s="21">
        <v>42865</v>
      </c>
      <c r="C3" s="83">
        <v>17</v>
      </c>
      <c r="D3" s="22">
        <v>3740</v>
      </c>
      <c r="E3" s="22">
        <v>1550</v>
      </c>
      <c r="F3" s="22">
        <v>7.5</v>
      </c>
      <c r="G3" s="22">
        <v>3400</v>
      </c>
      <c r="H3" s="22">
        <v>1.88</v>
      </c>
      <c r="I3" s="22">
        <v>8.0600000000000005E-2</v>
      </c>
      <c r="J3" s="22">
        <v>1.1000000000000001</v>
      </c>
      <c r="K3" s="22">
        <v>2280</v>
      </c>
      <c r="L3" s="28">
        <f>N3-M3</f>
        <v>3.8300000000000001E-2</v>
      </c>
      <c r="M3" s="22">
        <v>1.9599999999999999E-2</v>
      </c>
      <c r="N3" s="22">
        <v>5.79E-2</v>
      </c>
      <c r="O3" s="24">
        <f>0.5* 2.5</f>
        <v>1.25</v>
      </c>
      <c r="P3" s="22">
        <v>6.3699999999999998E-3</v>
      </c>
      <c r="Q3" s="22">
        <v>3.3999999999999998E-3</v>
      </c>
      <c r="R3" s="22">
        <v>0.182</v>
      </c>
      <c r="S3" s="22">
        <v>5.4900000000000001E-3</v>
      </c>
      <c r="T3" s="22">
        <v>0.81799999999999995</v>
      </c>
      <c r="U3" s="22">
        <v>2.5300000000000001E-3</v>
      </c>
      <c r="V3" s="22">
        <v>5.7000000000000002E-2</v>
      </c>
      <c r="W3" s="24">
        <f>0.5* 0.002</f>
        <v>1E-3</v>
      </c>
    </row>
    <row r="4" spans="1:23">
      <c r="A4" s="20" t="s">
        <v>11</v>
      </c>
      <c r="B4" s="21">
        <v>42872.5</v>
      </c>
      <c r="C4" s="83">
        <v>14</v>
      </c>
      <c r="D4" s="22">
        <v>3510</v>
      </c>
      <c r="E4" s="22">
        <v>1510</v>
      </c>
      <c r="F4" s="22">
        <v>7.71</v>
      </c>
      <c r="G4" s="22">
        <v>3020</v>
      </c>
      <c r="H4" s="22">
        <v>2.82</v>
      </c>
      <c r="I4" s="22">
        <v>7.8E-2</v>
      </c>
      <c r="J4" s="22">
        <v>0.63</v>
      </c>
      <c r="K4" s="22">
        <v>2120</v>
      </c>
      <c r="L4" s="28">
        <f t="shared" ref="L4:L27" si="0">N4-M4</f>
        <v>4.9599999999999991E-2</v>
      </c>
      <c r="M4" s="22">
        <v>1.32E-2</v>
      </c>
      <c r="N4" s="22">
        <v>6.2799999999999995E-2</v>
      </c>
      <c r="O4" s="24">
        <f>0.5* 2.5</f>
        <v>1.25</v>
      </c>
      <c r="P4" s="22">
        <v>8.8000000000000005E-3</v>
      </c>
      <c r="Q4" s="22">
        <v>2.3999999999999998E-3</v>
      </c>
      <c r="R4" s="22">
        <v>0.255</v>
      </c>
      <c r="S4" s="22">
        <v>5.64E-3</v>
      </c>
      <c r="T4" s="22">
        <v>0.77</v>
      </c>
      <c r="U4" s="22">
        <v>2.3400000000000001E-3</v>
      </c>
      <c r="V4" s="22">
        <v>2.1999999999999999E-2</v>
      </c>
      <c r="W4" s="24">
        <f>0.5* 0.002</f>
        <v>1E-3</v>
      </c>
    </row>
    <row r="5" spans="1:23">
      <c r="A5" s="20" t="s">
        <v>11</v>
      </c>
      <c r="B5" s="21">
        <v>42879</v>
      </c>
      <c r="C5" s="83">
        <v>17</v>
      </c>
      <c r="D5" s="22">
        <v>3430</v>
      </c>
      <c r="E5" s="22">
        <v>1350</v>
      </c>
      <c r="F5" s="22">
        <v>7.78</v>
      </c>
      <c r="G5" s="22">
        <v>3110</v>
      </c>
      <c r="H5" s="22">
        <v>1.28</v>
      </c>
      <c r="I5" s="22">
        <v>8.6999999999999994E-2</v>
      </c>
      <c r="J5" s="22">
        <v>0.41</v>
      </c>
      <c r="K5" s="22">
        <v>2050</v>
      </c>
      <c r="L5" s="28">
        <f t="shared" si="0"/>
        <v>3.1E-2</v>
      </c>
      <c r="M5" s="22">
        <v>1.35E-2</v>
      </c>
      <c r="N5" s="22">
        <v>4.4499999999999998E-2</v>
      </c>
      <c r="O5" s="24">
        <f>0.5* 2.5</f>
        <v>1.25</v>
      </c>
      <c r="P5" s="22">
        <v>7.6299999999999996E-3</v>
      </c>
      <c r="Q5" s="22">
        <v>2.2000000000000001E-3</v>
      </c>
      <c r="R5" s="22">
        <v>0.26100000000000001</v>
      </c>
      <c r="S5" s="22">
        <v>4.7499999999999999E-3</v>
      </c>
      <c r="T5" s="22">
        <v>0.65900000000000003</v>
      </c>
      <c r="U5" s="22">
        <v>1.72E-3</v>
      </c>
      <c r="V5" s="24">
        <f>0.5* 0.02</f>
        <v>0.01</v>
      </c>
      <c r="W5" s="24">
        <f>0.5* 0.002</f>
        <v>1E-3</v>
      </c>
    </row>
    <row r="6" spans="1:23">
      <c r="A6" s="20" t="s">
        <v>11</v>
      </c>
      <c r="B6" s="21">
        <v>42886.5</v>
      </c>
      <c r="C6" s="83">
        <v>18</v>
      </c>
      <c r="D6" s="22">
        <v>3390</v>
      </c>
      <c r="E6" s="22">
        <v>1280</v>
      </c>
      <c r="F6" s="22">
        <v>7.92</v>
      </c>
      <c r="G6" s="22">
        <v>3110</v>
      </c>
      <c r="H6" s="22">
        <v>1.59</v>
      </c>
      <c r="I6" s="22">
        <v>5.0599999999999999E-2</v>
      </c>
      <c r="J6" s="22">
        <v>0.33</v>
      </c>
      <c r="K6" s="22">
        <v>2070</v>
      </c>
      <c r="L6" s="28">
        <f t="shared" si="0"/>
        <v>2.4399999999999998E-2</v>
      </c>
      <c r="M6" s="22">
        <v>1.0500000000000001E-2</v>
      </c>
      <c r="N6" s="22">
        <v>3.49E-2</v>
      </c>
      <c r="O6" s="24">
        <f>0.5* 2.5</f>
        <v>1.25</v>
      </c>
      <c r="P6" s="22">
        <v>7.0600000000000003E-3</v>
      </c>
      <c r="Q6" s="22">
        <v>1.6999999999999999E-3</v>
      </c>
      <c r="R6" s="22">
        <v>0.248</v>
      </c>
      <c r="S6" s="22">
        <v>3.9100000000000003E-3</v>
      </c>
      <c r="T6" s="22">
        <v>0.62</v>
      </c>
      <c r="U6" s="22">
        <v>1.42E-3</v>
      </c>
      <c r="V6" s="24">
        <f>0.5* 0.02</f>
        <v>0.01</v>
      </c>
      <c r="W6" s="22">
        <v>2.3E-3</v>
      </c>
    </row>
    <row r="7" spans="1:23">
      <c r="A7" s="20" t="s">
        <v>11</v>
      </c>
      <c r="B7" s="21">
        <v>42893.5</v>
      </c>
      <c r="C7" s="83">
        <v>16</v>
      </c>
      <c r="D7" s="22">
        <v>3410</v>
      </c>
      <c r="E7" s="22">
        <v>1360</v>
      </c>
      <c r="F7" s="22">
        <v>7.8</v>
      </c>
      <c r="G7" s="22">
        <v>2910</v>
      </c>
      <c r="H7" s="22">
        <v>1.38</v>
      </c>
      <c r="I7" s="22">
        <v>5.5E-2</v>
      </c>
      <c r="J7" s="22">
        <v>0.28999999999999998</v>
      </c>
      <c r="K7" s="22">
        <v>1960</v>
      </c>
      <c r="L7" s="28">
        <f t="shared" si="0"/>
        <v>1.9400000000000001E-2</v>
      </c>
      <c r="M7" s="22">
        <v>2.01E-2</v>
      </c>
      <c r="N7" s="22">
        <v>3.95E-2</v>
      </c>
      <c r="O7" s="24">
        <f>0.5* 2.5</f>
        <v>1.25</v>
      </c>
      <c r="P7" s="22">
        <v>6.79E-3</v>
      </c>
      <c r="Q7" s="22">
        <v>1.2999999999999999E-3</v>
      </c>
      <c r="R7" s="22">
        <v>0.25600000000000001</v>
      </c>
      <c r="S7" s="22">
        <v>4.2500000000000003E-3</v>
      </c>
      <c r="T7" s="22">
        <v>0.59799999999999998</v>
      </c>
      <c r="U7" s="22">
        <v>8.7000000000000001E-4</v>
      </c>
      <c r="V7" s="24">
        <f>0.5* 0.02</f>
        <v>0.01</v>
      </c>
      <c r="W7" s="24">
        <f t="shared" ref="W7:W16" si="1">0.5* 0.002</f>
        <v>1E-3</v>
      </c>
    </row>
    <row r="8" spans="1:23">
      <c r="A8" s="20" t="s">
        <v>11</v>
      </c>
      <c r="B8" s="21">
        <v>42900.5</v>
      </c>
      <c r="C8" s="83">
        <v>16</v>
      </c>
      <c r="D8" s="22">
        <v>3260</v>
      </c>
      <c r="E8" s="22">
        <v>1260</v>
      </c>
      <c r="F8" s="22">
        <v>7.82</v>
      </c>
      <c r="G8" s="22">
        <v>3000</v>
      </c>
      <c r="H8" s="22">
        <v>1.19</v>
      </c>
      <c r="I8" s="22">
        <v>6.0999999999999999E-2</v>
      </c>
      <c r="J8" s="22">
        <v>0.28000000000000003</v>
      </c>
      <c r="K8" s="22">
        <v>2030</v>
      </c>
      <c r="L8" s="28">
        <f t="shared" si="0"/>
        <v>2.3699999999999999E-2</v>
      </c>
      <c r="M8" s="22">
        <v>8.3999999999999995E-3</v>
      </c>
      <c r="N8" s="22">
        <v>3.2099999999999997E-2</v>
      </c>
      <c r="O8" s="24">
        <f>0.5* 0.5</f>
        <v>0.25</v>
      </c>
      <c r="P8" s="22">
        <v>6.4200000000000004E-3</v>
      </c>
      <c r="Q8" s="22">
        <v>1.2999999999999999E-3</v>
      </c>
      <c r="R8" s="22">
        <v>0.25</v>
      </c>
      <c r="S8" s="22">
        <v>3.81E-3</v>
      </c>
      <c r="T8" s="22">
        <v>0.59099999999999997</v>
      </c>
      <c r="U8" s="22">
        <v>1.14E-3</v>
      </c>
      <c r="V8" s="24">
        <f>0.5* 0.02</f>
        <v>0.01</v>
      </c>
      <c r="W8" s="24">
        <f t="shared" si="1"/>
        <v>1E-3</v>
      </c>
    </row>
    <row r="9" spans="1:23">
      <c r="A9" s="20" t="s">
        <v>11</v>
      </c>
      <c r="B9" s="21">
        <v>42907.5</v>
      </c>
      <c r="C9" s="83">
        <v>17</v>
      </c>
      <c r="D9" s="22">
        <v>3270</v>
      </c>
      <c r="E9" s="22">
        <v>1210</v>
      </c>
      <c r="F9" s="22">
        <v>7.88</v>
      </c>
      <c r="G9" s="22">
        <v>2940</v>
      </c>
      <c r="H9" s="22">
        <v>1.86</v>
      </c>
      <c r="I9" s="22">
        <v>8.4500000000000006E-2</v>
      </c>
      <c r="J9" s="22">
        <v>0.3</v>
      </c>
      <c r="K9" s="22">
        <v>2020</v>
      </c>
      <c r="L9" s="28">
        <f t="shared" si="0"/>
        <v>2.0299999999999999E-2</v>
      </c>
      <c r="M9" s="22">
        <v>7.7999999999999996E-3</v>
      </c>
      <c r="N9" s="22">
        <v>2.81E-2</v>
      </c>
      <c r="O9" s="24">
        <f>0.5* 2.5</f>
        <v>1.25</v>
      </c>
      <c r="P9" s="22">
        <v>4.3899999999999998E-3</v>
      </c>
      <c r="Q9" s="22">
        <v>1E-3</v>
      </c>
      <c r="R9" s="22">
        <v>0.19400000000000001</v>
      </c>
      <c r="S9" s="22">
        <v>3.32E-3</v>
      </c>
      <c r="T9" s="22">
        <v>0.48499999999999999</v>
      </c>
      <c r="U9" s="22">
        <v>9.8999999999999999E-4</v>
      </c>
      <c r="V9" s="22">
        <v>3.4000000000000002E-2</v>
      </c>
      <c r="W9" s="24">
        <f t="shared" si="1"/>
        <v>1E-3</v>
      </c>
    </row>
    <row r="10" spans="1:23">
      <c r="A10" s="20" t="s">
        <v>11</v>
      </c>
      <c r="B10" s="21">
        <v>42914.5</v>
      </c>
      <c r="C10" s="83">
        <v>18</v>
      </c>
      <c r="D10" s="22">
        <v>3140</v>
      </c>
      <c r="E10" s="22">
        <v>1260</v>
      </c>
      <c r="F10" s="22">
        <v>7.75</v>
      </c>
      <c r="G10" s="22">
        <v>2720</v>
      </c>
      <c r="H10" s="22">
        <v>1.49</v>
      </c>
      <c r="I10" s="22">
        <v>7.7299999999999994E-2</v>
      </c>
      <c r="J10" s="22">
        <v>0.32</v>
      </c>
      <c r="K10" s="22">
        <v>1960</v>
      </c>
      <c r="L10" s="28">
        <f t="shared" si="0"/>
        <v>1.6600000000000004E-2</v>
      </c>
      <c r="M10" s="22">
        <v>8.3999999999999995E-3</v>
      </c>
      <c r="N10" s="22">
        <v>2.5000000000000001E-2</v>
      </c>
      <c r="O10" s="24">
        <f>0.5* 2.5</f>
        <v>1.25</v>
      </c>
      <c r="P10" s="22">
        <v>4.7400000000000003E-3</v>
      </c>
      <c r="Q10" s="22">
        <v>1.4E-3</v>
      </c>
      <c r="R10" s="22">
        <v>0.22</v>
      </c>
      <c r="S10" s="22">
        <v>3.7699999999999999E-3</v>
      </c>
      <c r="T10" s="22">
        <v>0.53200000000000003</v>
      </c>
      <c r="U10" s="22">
        <v>1.24E-3</v>
      </c>
      <c r="V10" s="24">
        <f>0.5* 0.02</f>
        <v>0.01</v>
      </c>
      <c r="W10" s="24">
        <f t="shared" si="1"/>
        <v>1E-3</v>
      </c>
    </row>
    <row r="11" spans="1:23">
      <c r="A11" s="20" t="s">
        <v>11</v>
      </c>
      <c r="B11" s="21">
        <v>42921.5</v>
      </c>
      <c r="C11" s="83">
        <v>21</v>
      </c>
      <c r="D11" s="22">
        <v>3340</v>
      </c>
      <c r="E11" s="22">
        <v>1310</v>
      </c>
      <c r="F11" s="22">
        <v>7.85</v>
      </c>
      <c r="G11" s="22">
        <v>2770</v>
      </c>
      <c r="H11" s="22">
        <v>1.56</v>
      </c>
      <c r="I11" s="22">
        <v>4.48E-2</v>
      </c>
      <c r="J11" s="22">
        <v>0.35</v>
      </c>
      <c r="K11" s="22">
        <v>1930</v>
      </c>
      <c r="L11" s="28">
        <f t="shared" si="0"/>
        <v>1.5699999999999999E-2</v>
      </c>
      <c r="M11" s="22">
        <v>5.1999999999999998E-3</v>
      </c>
      <c r="N11" s="22">
        <v>2.0899999999999998E-2</v>
      </c>
      <c r="O11" s="24">
        <f>0.5* 0.5</f>
        <v>0.25</v>
      </c>
      <c r="P11" s="22">
        <v>4.0800000000000003E-3</v>
      </c>
      <c r="Q11" s="22">
        <v>1.1999999999999999E-3</v>
      </c>
      <c r="R11" s="22">
        <v>0.20499999999999999</v>
      </c>
      <c r="S11" s="22">
        <v>3.3E-3</v>
      </c>
      <c r="T11" s="22">
        <v>0.40200000000000002</v>
      </c>
      <c r="U11" s="22">
        <v>1.0300000000000001E-3</v>
      </c>
      <c r="V11" s="22">
        <v>5.1999999999999998E-2</v>
      </c>
      <c r="W11" s="24">
        <f t="shared" si="1"/>
        <v>1E-3</v>
      </c>
    </row>
    <row r="12" spans="1:23">
      <c r="A12" s="20" t="s">
        <v>11</v>
      </c>
      <c r="B12" s="21">
        <v>42928.5</v>
      </c>
      <c r="C12" s="83">
        <v>21</v>
      </c>
      <c r="D12" s="22">
        <v>3350</v>
      </c>
      <c r="E12" s="22">
        <v>1150</v>
      </c>
      <c r="F12" s="22">
        <v>7.28</v>
      </c>
      <c r="G12" s="22">
        <v>2970</v>
      </c>
      <c r="H12" s="22">
        <v>1.36</v>
      </c>
      <c r="I12" s="22">
        <v>4.6800000000000001E-2</v>
      </c>
      <c r="J12" s="22">
        <v>0.38</v>
      </c>
      <c r="K12" s="22">
        <v>1990</v>
      </c>
      <c r="L12" s="28">
        <f t="shared" si="0"/>
        <v>1.7399999999999999E-2</v>
      </c>
      <c r="M12" s="22">
        <v>9.4000000000000004E-3</v>
      </c>
      <c r="N12" s="22">
        <v>2.6800000000000001E-2</v>
      </c>
      <c r="O12" s="24">
        <f>0.5* 2.5</f>
        <v>1.25</v>
      </c>
      <c r="P12" s="22">
        <v>4.0299999999999997E-3</v>
      </c>
      <c r="Q12" s="22">
        <v>1.2999999999999999E-3</v>
      </c>
      <c r="R12" s="22">
        <v>0.21299999999999999</v>
      </c>
      <c r="S12" s="22">
        <v>3.1700000000000001E-3</v>
      </c>
      <c r="T12" s="22">
        <v>0.43099999999999999</v>
      </c>
      <c r="U12" s="22">
        <v>1.0499999999999999E-3</v>
      </c>
      <c r="V12" s="22">
        <v>2.7E-2</v>
      </c>
      <c r="W12" s="24">
        <f t="shared" si="1"/>
        <v>1E-3</v>
      </c>
    </row>
    <row r="13" spans="1:23">
      <c r="A13" s="20" t="s">
        <v>11</v>
      </c>
      <c r="B13" s="21">
        <v>42935.5</v>
      </c>
      <c r="C13" s="83">
        <v>20</v>
      </c>
      <c r="D13" s="22">
        <v>3280</v>
      </c>
      <c r="E13" s="22">
        <v>1300</v>
      </c>
      <c r="F13" s="22">
        <v>7.76</v>
      </c>
      <c r="G13" s="22">
        <v>2960</v>
      </c>
      <c r="H13" s="22">
        <v>1.1499999999999999</v>
      </c>
      <c r="I13" s="22">
        <v>5.0099999999999999E-2</v>
      </c>
      <c r="J13" s="22">
        <v>0.38</v>
      </c>
      <c r="K13" s="22">
        <v>1970</v>
      </c>
      <c r="L13" s="28">
        <f t="shared" si="0"/>
        <v>1.8299999999999997E-2</v>
      </c>
      <c r="M13" s="22">
        <v>3.5700000000000003E-2</v>
      </c>
      <c r="N13" s="22">
        <v>5.3999999999999999E-2</v>
      </c>
      <c r="O13" s="24">
        <f t="shared" ref="O13:O27" si="2">0.5* 0.5</f>
        <v>0.25</v>
      </c>
      <c r="P13" s="22">
        <v>4.5799999999999999E-3</v>
      </c>
      <c r="Q13" s="22">
        <v>1.6000000000000001E-3</v>
      </c>
      <c r="R13" s="22">
        <v>0.19500000000000001</v>
      </c>
      <c r="S13" s="22">
        <v>3.9500000000000004E-3</v>
      </c>
      <c r="T13" s="22">
        <v>0.38600000000000001</v>
      </c>
      <c r="U13" s="22">
        <v>9.3999999999999997E-4</v>
      </c>
      <c r="V13" s="24">
        <f>0.5* 0.02</f>
        <v>0.01</v>
      </c>
      <c r="W13" s="24">
        <f t="shared" si="1"/>
        <v>1E-3</v>
      </c>
    </row>
    <row r="14" spans="1:23">
      <c r="A14" s="20" t="s">
        <v>11</v>
      </c>
      <c r="B14" s="21">
        <v>42942.5</v>
      </c>
      <c r="C14" s="83">
        <v>21.3</v>
      </c>
      <c r="D14" s="22">
        <v>3290</v>
      </c>
      <c r="E14" s="22">
        <v>1420</v>
      </c>
      <c r="F14" s="22">
        <v>7.43</v>
      </c>
      <c r="G14" s="22">
        <v>3060</v>
      </c>
      <c r="H14" s="22">
        <v>1.85</v>
      </c>
      <c r="I14" s="22">
        <v>1.34E-2</v>
      </c>
      <c r="J14" s="22">
        <v>0.25</v>
      </c>
      <c r="K14" s="22">
        <v>2040</v>
      </c>
      <c r="L14" s="28">
        <f t="shared" si="0"/>
        <v>2.1100000000000001E-2</v>
      </c>
      <c r="M14" s="24">
        <f>0.5* 0.005</f>
        <v>2.5000000000000001E-3</v>
      </c>
      <c r="N14" s="22">
        <v>2.3599999999999999E-2</v>
      </c>
      <c r="O14" s="24">
        <f t="shared" si="2"/>
        <v>0.25</v>
      </c>
      <c r="P14" s="22">
        <v>4.7299999999999998E-3</v>
      </c>
      <c r="Q14" s="22">
        <v>1.1000000000000001E-3</v>
      </c>
      <c r="R14" s="22">
        <v>0.19900000000000001</v>
      </c>
      <c r="S14" s="22">
        <v>3.8899999999999998E-3</v>
      </c>
      <c r="T14" s="22">
        <v>0.41499999999999998</v>
      </c>
      <c r="U14" s="22">
        <v>8.3000000000000001E-4</v>
      </c>
      <c r="V14" s="24">
        <f>0.5* 0.02</f>
        <v>0.01</v>
      </c>
      <c r="W14" s="24">
        <f t="shared" si="1"/>
        <v>1E-3</v>
      </c>
    </row>
    <row r="15" spans="1:23">
      <c r="A15" s="20" t="s">
        <v>11</v>
      </c>
      <c r="B15" s="21">
        <v>42949</v>
      </c>
      <c r="C15" s="83">
        <v>20.399999999999999</v>
      </c>
      <c r="D15" s="22">
        <v>3470</v>
      </c>
      <c r="E15" s="22">
        <v>1360</v>
      </c>
      <c r="F15" s="22">
        <v>7.7</v>
      </c>
      <c r="G15" s="22">
        <v>3150</v>
      </c>
      <c r="H15" s="22">
        <v>2.12</v>
      </c>
      <c r="I15" s="22">
        <v>5.7500000000000002E-2</v>
      </c>
      <c r="J15" s="22">
        <v>0.32</v>
      </c>
      <c r="K15" s="22">
        <v>2040</v>
      </c>
      <c r="L15" s="28">
        <f t="shared" si="0"/>
        <v>7.0900000000000005E-2</v>
      </c>
      <c r="M15" s="22">
        <v>1.6500000000000001E-2</v>
      </c>
      <c r="N15" s="22">
        <v>8.7400000000000005E-2</v>
      </c>
      <c r="O15" s="24">
        <f t="shared" si="2"/>
        <v>0.25</v>
      </c>
      <c r="P15" s="22">
        <v>6.8300000000000001E-3</v>
      </c>
      <c r="Q15" s="22">
        <v>1.6400000000000001E-2</v>
      </c>
      <c r="R15" s="22">
        <v>0.249</v>
      </c>
      <c r="S15" s="22">
        <v>4.8799999999999998E-3</v>
      </c>
      <c r="T15" s="22">
        <v>0.42099999999999999</v>
      </c>
      <c r="U15" s="22">
        <v>1.17E-2</v>
      </c>
      <c r="V15" s="22">
        <v>4.3999999999999997E-2</v>
      </c>
      <c r="W15" s="24">
        <f t="shared" si="1"/>
        <v>1E-3</v>
      </c>
    </row>
    <row r="16" spans="1:23">
      <c r="A16" s="20" t="s">
        <v>11</v>
      </c>
      <c r="B16" s="21">
        <v>42956.5</v>
      </c>
      <c r="C16" s="83">
        <v>20</v>
      </c>
      <c r="D16" s="22">
        <v>3350</v>
      </c>
      <c r="E16" s="22">
        <v>1430</v>
      </c>
      <c r="F16" s="22">
        <v>7.77</v>
      </c>
      <c r="G16" s="22">
        <v>3190</v>
      </c>
      <c r="H16" s="22">
        <v>1.27</v>
      </c>
      <c r="I16" s="22">
        <v>6.6000000000000003E-2</v>
      </c>
      <c r="J16" s="22">
        <v>0.42</v>
      </c>
      <c r="K16" s="22">
        <v>2200</v>
      </c>
      <c r="L16" s="28">
        <f t="shared" si="0"/>
        <v>2.8800000000000003E-2</v>
      </c>
      <c r="M16" s="24">
        <f>0.5* 0.005</f>
        <v>2.5000000000000001E-3</v>
      </c>
      <c r="N16" s="22">
        <v>3.1300000000000001E-2</v>
      </c>
      <c r="O16" s="24">
        <f t="shared" si="2"/>
        <v>0.25</v>
      </c>
      <c r="P16" s="22">
        <v>5.3499999999999997E-3</v>
      </c>
      <c r="Q16" s="22">
        <v>8.8599999999999998E-3</v>
      </c>
      <c r="R16" s="22">
        <v>0.2</v>
      </c>
      <c r="S16" s="22">
        <v>3.8E-3</v>
      </c>
      <c r="T16" s="22">
        <v>0.35099999999999998</v>
      </c>
      <c r="U16" s="22">
        <v>7.3299999999999997E-3</v>
      </c>
      <c r="V16" s="22">
        <v>5.2999999999999999E-2</v>
      </c>
      <c r="W16" s="24">
        <f t="shared" si="1"/>
        <v>1E-3</v>
      </c>
    </row>
    <row r="17" spans="1:23">
      <c r="A17" s="20" t="s">
        <v>11</v>
      </c>
      <c r="B17" s="21">
        <v>42963.5</v>
      </c>
      <c r="C17" s="83">
        <v>19</v>
      </c>
      <c r="D17" s="22">
        <v>3670</v>
      </c>
      <c r="E17" s="22">
        <v>1460</v>
      </c>
      <c r="F17" s="22">
        <v>7.52</v>
      </c>
      <c r="G17" s="22">
        <v>3510</v>
      </c>
      <c r="H17" s="22">
        <v>1.24</v>
      </c>
      <c r="I17" s="22">
        <v>5.4199999999999998E-2</v>
      </c>
      <c r="J17" s="22">
        <v>0.47</v>
      </c>
      <c r="K17" s="22">
        <v>2230</v>
      </c>
      <c r="L17" s="28">
        <f t="shared" si="0"/>
        <v>2.47E-2</v>
      </c>
      <c r="M17" s="24">
        <f>0.5* 0.005</f>
        <v>2.5000000000000001E-3</v>
      </c>
      <c r="N17" s="22">
        <v>2.7199999999999998E-2</v>
      </c>
      <c r="O17" s="24">
        <f t="shared" si="2"/>
        <v>0.25</v>
      </c>
      <c r="P17" s="22">
        <v>4.1799999999999997E-3</v>
      </c>
      <c r="Q17" s="22">
        <v>7.1000000000000004E-3</v>
      </c>
      <c r="R17" s="22">
        <v>0.21199999999999999</v>
      </c>
      <c r="S17" s="22">
        <v>4.3699999999999998E-3</v>
      </c>
      <c r="T17" s="22">
        <v>0.40799999999999997</v>
      </c>
      <c r="U17" s="22">
        <v>6.3099999999999996E-3</v>
      </c>
      <c r="V17" s="22">
        <v>2.8000000000000001E-2</v>
      </c>
      <c r="W17" s="22">
        <v>2.3999999999999998E-3</v>
      </c>
    </row>
    <row r="18" spans="1:23">
      <c r="A18" s="20" t="s">
        <v>11</v>
      </c>
      <c r="B18" s="21">
        <v>42970.5</v>
      </c>
      <c r="C18" s="83">
        <v>19.5</v>
      </c>
      <c r="D18" s="22">
        <v>3690</v>
      </c>
      <c r="E18" s="22">
        <v>1610</v>
      </c>
      <c r="F18" s="22">
        <v>7.67</v>
      </c>
      <c r="G18" s="22">
        <v>3510</v>
      </c>
      <c r="H18" s="22">
        <v>2.36</v>
      </c>
      <c r="I18" s="22">
        <v>4.0300000000000002E-2</v>
      </c>
      <c r="J18" s="22">
        <v>0.49</v>
      </c>
      <c r="K18" s="22">
        <v>2450</v>
      </c>
      <c r="L18" s="28">
        <f t="shared" si="0"/>
        <v>2.5700000000000001E-2</v>
      </c>
      <c r="M18" s="24">
        <f>0.5* 0.005</f>
        <v>2.5000000000000001E-3</v>
      </c>
      <c r="N18" s="22">
        <v>2.8199999999999999E-2</v>
      </c>
      <c r="O18" s="24">
        <f t="shared" si="2"/>
        <v>0.25</v>
      </c>
      <c r="P18" s="22">
        <v>4.7299999999999998E-3</v>
      </c>
      <c r="Q18" s="22">
        <v>6.7000000000000002E-3</v>
      </c>
      <c r="R18" s="22">
        <v>0.20699999999999999</v>
      </c>
      <c r="S18" s="22">
        <v>4.0000000000000001E-3</v>
      </c>
      <c r="T18" s="22">
        <v>0.39600000000000002</v>
      </c>
      <c r="U18" s="22">
        <v>5.8399999999999997E-3</v>
      </c>
      <c r="V18" s="22">
        <v>2.8000000000000001E-2</v>
      </c>
      <c r="W18" s="24">
        <f>0.5* 0.002</f>
        <v>1E-3</v>
      </c>
    </row>
    <row r="19" spans="1:23">
      <c r="A19" s="20" t="s">
        <v>11</v>
      </c>
      <c r="B19" s="21">
        <v>42977.5</v>
      </c>
      <c r="C19" s="83">
        <v>19</v>
      </c>
      <c r="D19" s="22">
        <v>3790</v>
      </c>
      <c r="E19" s="22">
        <v>1530</v>
      </c>
      <c r="F19" s="22">
        <v>7.87</v>
      </c>
      <c r="G19" s="22">
        <v>3600</v>
      </c>
      <c r="H19" s="22">
        <v>1.58</v>
      </c>
      <c r="I19" s="22">
        <v>6.0199999999999997E-2</v>
      </c>
      <c r="J19" s="22">
        <v>0.48</v>
      </c>
      <c r="K19" s="22">
        <v>2480</v>
      </c>
      <c r="L19" s="28">
        <f t="shared" si="0"/>
        <v>2.4500000000000001E-2</v>
      </c>
      <c r="M19" s="22">
        <v>5.7000000000000002E-3</v>
      </c>
      <c r="N19" s="22">
        <v>3.0200000000000001E-2</v>
      </c>
      <c r="O19" s="24">
        <f t="shared" si="2"/>
        <v>0.25</v>
      </c>
      <c r="P19" s="22">
        <v>5.2399999999999999E-3</v>
      </c>
      <c r="Q19" s="22">
        <v>6.0000000000000001E-3</v>
      </c>
      <c r="R19" s="22">
        <v>0.23</v>
      </c>
      <c r="S19" s="22">
        <v>3.9899999999999996E-3</v>
      </c>
      <c r="T19" s="22">
        <v>0.42099999999999999</v>
      </c>
      <c r="U19" s="22">
        <v>4.6899999999999997E-3</v>
      </c>
      <c r="V19" s="22">
        <v>4.4999999999999998E-2</v>
      </c>
      <c r="W19" s="24">
        <f>0.5* 0.001</f>
        <v>5.0000000000000001E-4</v>
      </c>
    </row>
    <row r="20" spans="1:23">
      <c r="A20" s="20" t="s">
        <v>11</v>
      </c>
      <c r="B20" s="21">
        <v>42984</v>
      </c>
      <c r="C20" s="83">
        <v>19</v>
      </c>
      <c r="D20" s="22">
        <v>4070</v>
      </c>
      <c r="E20" s="22">
        <v>1730</v>
      </c>
      <c r="F20" s="22">
        <v>7.88</v>
      </c>
      <c r="G20" s="22">
        <v>3850</v>
      </c>
      <c r="H20" s="22">
        <v>2.38</v>
      </c>
      <c r="I20" s="22">
        <v>4.7100000000000003E-2</v>
      </c>
      <c r="J20" s="22">
        <v>0.69</v>
      </c>
      <c r="K20" s="22">
        <v>2580</v>
      </c>
      <c r="L20" s="28">
        <f t="shared" si="0"/>
        <v>2.6599999999999999E-2</v>
      </c>
      <c r="M20" s="22">
        <v>6.1000000000000004E-3</v>
      </c>
      <c r="N20" s="22">
        <v>3.27E-2</v>
      </c>
      <c r="O20" s="24">
        <f t="shared" si="2"/>
        <v>0.25</v>
      </c>
      <c r="P20" s="22">
        <v>5.7299999999999999E-3</v>
      </c>
      <c r="Q20" s="22">
        <v>5.3E-3</v>
      </c>
      <c r="R20" s="22">
        <v>0.38800000000000001</v>
      </c>
      <c r="S20" s="22">
        <v>4.4000000000000003E-3</v>
      </c>
      <c r="T20" s="22">
        <v>0.47399999999999998</v>
      </c>
      <c r="U20" s="22">
        <v>4.4099999999999999E-3</v>
      </c>
      <c r="V20" s="22">
        <v>2.9000000000000001E-2</v>
      </c>
      <c r="W20" s="24">
        <f>0.5* 0.002</f>
        <v>1E-3</v>
      </c>
    </row>
    <row r="21" spans="1:23">
      <c r="A21" s="20" t="s">
        <v>11</v>
      </c>
      <c r="B21" s="21">
        <v>42991.5</v>
      </c>
      <c r="C21" s="83">
        <v>18</v>
      </c>
      <c r="D21" s="22">
        <v>3960</v>
      </c>
      <c r="E21" s="22">
        <v>1650</v>
      </c>
      <c r="F21" s="22">
        <v>7.79</v>
      </c>
      <c r="G21" s="22">
        <v>3940</v>
      </c>
      <c r="H21" s="22">
        <v>2.1800000000000002</v>
      </c>
      <c r="I21" s="22">
        <v>4.7E-2</v>
      </c>
      <c r="J21" s="22">
        <v>0.77</v>
      </c>
      <c r="K21" s="22">
        <v>2570</v>
      </c>
      <c r="L21" s="28">
        <f t="shared" si="0"/>
        <v>3.73E-2</v>
      </c>
      <c r="M21" s="22">
        <v>5.3E-3</v>
      </c>
      <c r="N21" s="22">
        <v>4.2599999999999999E-2</v>
      </c>
      <c r="O21" s="24">
        <f t="shared" si="2"/>
        <v>0.25</v>
      </c>
      <c r="P21" s="22">
        <v>6.0899999999999999E-3</v>
      </c>
      <c r="Q21" s="22">
        <v>4.0000000000000001E-3</v>
      </c>
      <c r="R21" s="22">
        <v>0.35099999999999998</v>
      </c>
      <c r="S21" s="22">
        <v>4.2599999999999999E-3</v>
      </c>
      <c r="T21" s="22">
        <v>0.504</v>
      </c>
      <c r="U21" s="22">
        <v>3.6099999999999999E-3</v>
      </c>
      <c r="V21" s="22">
        <v>2.5999999999999999E-2</v>
      </c>
      <c r="W21" s="24">
        <f>0.5* 0.002</f>
        <v>1E-3</v>
      </c>
    </row>
    <row r="22" spans="1:23">
      <c r="A22" s="20" t="s">
        <v>11</v>
      </c>
      <c r="B22" s="21">
        <v>42998.5</v>
      </c>
      <c r="C22" s="83">
        <v>14</v>
      </c>
      <c r="D22" s="22">
        <v>4220</v>
      </c>
      <c r="E22" s="22">
        <v>1530</v>
      </c>
      <c r="F22" s="22">
        <v>7.83</v>
      </c>
      <c r="G22" s="22">
        <v>3800</v>
      </c>
      <c r="H22" s="22">
        <v>1.64</v>
      </c>
      <c r="I22" s="22">
        <v>3.5499999999999997E-2</v>
      </c>
      <c r="J22" s="22">
        <v>0.59</v>
      </c>
      <c r="K22" s="22">
        <v>2590</v>
      </c>
      <c r="L22" s="28">
        <f t="shared" si="0"/>
        <v>3.0599999999999999E-2</v>
      </c>
      <c r="M22" s="24">
        <f>0.5* 0.005</f>
        <v>2.5000000000000001E-3</v>
      </c>
      <c r="N22" s="22">
        <v>3.3099999999999997E-2</v>
      </c>
      <c r="O22" s="24">
        <f t="shared" si="2"/>
        <v>0.25</v>
      </c>
      <c r="P22" s="22">
        <v>4.96E-3</v>
      </c>
      <c r="Q22" s="22">
        <v>3.5000000000000001E-3</v>
      </c>
      <c r="R22" s="22">
        <v>0.24</v>
      </c>
      <c r="S22" s="22">
        <v>3.6600000000000001E-3</v>
      </c>
      <c r="T22" s="22">
        <v>0.52800000000000002</v>
      </c>
      <c r="U22" s="22">
        <v>2.64E-3</v>
      </c>
      <c r="V22" s="24">
        <f>0.5* 0.02</f>
        <v>0.01</v>
      </c>
      <c r="W22" s="24">
        <f>0.5* 0.002</f>
        <v>1E-3</v>
      </c>
    </row>
    <row r="23" spans="1:23">
      <c r="A23" s="20" t="s">
        <v>11</v>
      </c>
      <c r="B23" s="21">
        <v>43005</v>
      </c>
      <c r="C23" s="83">
        <v>15.5</v>
      </c>
      <c r="D23" s="22">
        <v>4570</v>
      </c>
      <c r="E23" s="22">
        <v>1700</v>
      </c>
      <c r="F23" s="22">
        <v>7.85</v>
      </c>
      <c r="G23" s="22">
        <v>4070</v>
      </c>
      <c r="H23" s="22">
        <v>5.43</v>
      </c>
      <c r="I23" s="22">
        <v>4.6699999999999998E-2</v>
      </c>
      <c r="J23" s="22">
        <v>0.57999999999999996</v>
      </c>
      <c r="K23" s="22">
        <v>2740</v>
      </c>
      <c r="L23" s="28">
        <f t="shared" si="0"/>
        <v>4.24E-2</v>
      </c>
      <c r="M23" s="24">
        <f>0.5* 0.005</f>
        <v>2.5000000000000001E-3</v>
      </c>
      <c r="N23" s="22">
        <v>4.4900000000000002E-2</v>
      </c>
      <c r="O23" s="24">
        <f t="shared" si="2"/>
        <v>0.25</v>
      </c>
      <c r="P23" s="22">
        <v>5.1399999999999996E-3</v>
      </c>
      <c r="Q23" s="22">
        <v>3.5999999999999999E-3</v>
      </c>
      <c r="R23" s="22">
        <v>0.28599999999999998</v>
      </c>
      <c r="S23" s="22">
        <v>3.3899999999999998E-3</v>
      </c>
      <c r="T23" s="22">
        <v>0.53800000000000003</v>
      </c>
      <c r="U23" s="22">
        <v>2.7399999999999998E-3</v>
      </c>
      <c r="V23" s="24">
        <f>0.5* 0.02</f>
        <v>0.01</v>
      </c>
      <c r="W23" s="24">
        <f>0.5* 0.002</f>
        <v>1E-3</v>
      </c>
    </row>
    <row r="24" spans="1:23">
      <c r="A24" s="20" t="s">
        <v>11</v>
      </c>
      <c r="B24" s="21">
        <v>43012</v>
      </c>
      <c r="C24" s="83">
        <v>10.5</v>
      </c>
      <c r="D24" s="22">
        <v>4410</v>
      </c>
      <c r="E24" s="22">
        <v>1870</v>
      </c>
      <c r="F24" s="22">
        <v>7.73</v>
      </c>
      <c r="G24" s="22">
        <v>4270</v>
      </c>
      <c r="H24" s="22">
        <v>1.82</v>
      </c>
      <c r="I24" s="22">
        <v>4.5199999999999997E-2</v>
      </c>
      <c r="J24" s="22">
        <v>0.53</v>
      </c>
      <c r="K24" s="22">
        <v>2820</v>
      </c>
      <c r="L24" s="28">
        <f t="shared" si="0"/>
        <v>4.5399999999999996E-2</v>
      </c>
      <c r="M24" s="24">
        <f>0.5* 0.005</f>
        <v>2.5000000000000001E-3</v>
      </c>
      <c r="N24" s="22">
        <v>4.7899999999999998E-2</v>
      </c>
      <c r="O24" s="24">
        <f t="shared" si="2"/>
        <v>0.25</v>
      </c>
      <c r="P24" s="22">
        <v>4.8900000000000002E-3</v>
      </c>
      <c r="Q24" s="22">
        <v>4.4000000000000003E-3</v>
      </c>
      <c r="R24" s="22">
        <v>0.214</v>
      </c>
      <c r="S24" s="22">
        <v>3.4199999999999999E-3</v>
      </c>
      <c r="T24" s="22">
        <v>0.69099999999999995</v>
      </c>
      <c r="U24" s="22">
        <v>3.5000000000000001E-3</v>
      </c>
      <c r="V24" s="24">
        <f>0.5* 0.05</f>
        <v>2.5000000000000001E-2</v>
      </c>
      <c r="W24" s="24">
        <f>0.5* 0.005</f>
        <v>2.5000000000000001E-3</v>
      </c>
    </row>
    <row r="25" spans="1:23">
      <c r="A25" s="20" t="s">
        <v>11</v>
      </c>
      <c r="B25" s="21">
        <v>43019.5</v>
      </c>
      <c r="C25" s="83">
        <v>8.6</v>
      </c>
      <c r="D25" s="22">
        <v>4040</v>
      </c>
      <c r="E25" s="22">
        <v>1810</v>
      </c>
      <c r="F25" s="22">
        <v>7.93</v>
      </c>
      <c r="G25" s="22">
        <v>4220</v>
      </c>
      <c r="H25" s="22">
        <v>1.98</v>
      </c>
      <c r="I25" s="22">
        <v>4.1300000000000003E-2</v>
      </c>
      <c r="J25" s="22">
        <v>0.49</v>
      </c>
      <c r="K25" s="22">
        <v>2810</v>
      </c>
      <c r="L25" s="28">
        <f t="shared" si="0"/>
        <v>4.6399999999999997E-2</v>
      </c>
      <c r="M25" s="22">
        <v>5.7000000000000002E-3</v>
      </c>
      <c r="N25" s="22">
        <v>5.21E-2</v>
      </c>
      <c r="O25" s="24">
        <f t="shared" si="2"/>
        <v>0.25</v>
      </c>
      <c r="P25" s="22">
        <v>4.4900000000000001E-3</v>
      </c>
      <c r="Q25" s="22">
        <v>3.3999999999999998E-3</v>
      </c>
      <c r="R25" s="22">
        <v>0.22</v>
      </c>
      <c r="S25" s="22">
        <v>3.2299999999999998E-3</v>
      </c>
      <c r="T25" s="22">
        <v>0.68700000000000006</v>
      </c>
      <c r="U25" s="22">
        <v>2.8600000000000001E-3</v>
      </c>
      <c r="V25" s="24">
        <f>0.5* 0.02</f>
        <v>0.01</v>
      </c>
      <c r="W25" s="24">
        <f>0.5* 0.002</f>
        <v>1E-3</v>
      </c>
    </row>
    <row r="26" spans="1:23">
      <c r="A26" s="20" t="s">
        <v>11</v>
      </c>
      <c r="B26" s="21">
        <v>43026</v>
      </c>
      <c r="C26" s="83">
        <v>8</v>
      </c>
      <c r="D26" s="22">
        <v>4370</v>
      </c>
      <c r="E26" s="22">
        <v>1690</v>
      </c>
      <c r="F26" s="22">
        <v>7.87</v>
      </c>
      <c r="G26" s="22">
        <v>4200</v>
      </c>
      <c r="H26" s="22">
        <v>4.8899999999999997</v>
      </c>
      <c r="I26" s="22">
        <v>4.8599999999999997E-2</v>
      </c>
      <c r="J26" s="22">
        <v>0.34</v>
      </c>
      <c r="K26" s="22">
        <v>2490</v>
      </c>
      <c r="L26" s="28">
        <f t="shared" si="0"/>
        <v>3.9299999999999995E-2</v>
      </c>
      <c r="M26" s="22">
        <v>7.6E-3</v>
      </c>
      <c r="N26" s="22">
        <v>4.6899999999999997E-2</v>
      </c>
      <c r="O26" s="24">
        <f t="shared" si="2"/>
        <v>0.25</v>
      </c>
      <c r="P26" s="22">
        <v>6.4700000000000001E-3</v>
      </c>
      <c r="Q26" s="22">
        <v>2.8E-3</v>
      </c>
      <c r="R26" s="22">
        <v>0.70199999999999996</v>
      </c>
      <c r="S26" s="22">
        <v>3.0999999999999999E-3</v>
      </c>
      <c r="T26" s="22">
        <v>0.68200000000000005</v>
      </c>
      <c r="U26" s="22">
        <v>2.1299999999999999E-3</v>
      </c>
      <c r="V26" s="24">
        <f>0.5* 0.02</f>
        <v>0.01</v>
      </c>
      <c r="W26" s="24">
        <f>0.5* 0.002</f>
        <v>1E-3</v>
      </c>
    </row>
    <row r="27" spans="1:23">
      <c r="A27" s="20" t="s">
        <v>11</v>
      </c>
      <c r="B27" s="21">
        <v>43033</v>
      </c>
      <c r="C27" s="83">
        <v>8</v>
      </c>
      <c r="D27" s="22">
        <v>4480</v>
      </c>
      <c r="E27" s="22">
        <v>1790</v>
      </c>
      <c r="F27" s="22">
        <v>7.93</v>
      </c>
      <c r="G27" s="22">
        <v>4100</v>
      </c>
      <c r="H27" s="22">
        <v>7.8</v>
      </c>
      <c r="I27" s="22">
        <v>3.6499999999999998E-2</v>
      </c>
      <c r="J27" s="22">
        <v>0.38</v>
      </c>
      <c r="K27" s="22">
        <v>3080</v>
      </c>
      <c r="L27" s="28">
        <f t="shared" si="0"/>
        <v>5.3199999999999997E-2</v>
      </c>
      <c r="M27" s="24">
        <f>0.5* 0.005</f>
        <v>2.5000000000000001E-3</v>
      </c>
      <c r="N27" s="22">
        <v>5.57E-2</v>
      </c>
      <c r="O27" s="24">
        <f t="shared" si="2"/>
        <v>0.25</v>
      </c>
      <c r="P27" s="22">
        <v>4.9300000000000004E-3</v>
      </c>
      <c r="Q27" s="22">
        <v>2.3999999999999998E-3</v>
      </c>
      <c r="R27" s="22">
        <v>0.48499999999999999</v>
      </c>
      <c r="S27" s="22">
        <v>2.8700000000000002E-3</v>
      </c>
      <c r="T27" s="22">
        <v>0.86299999999999999</v>
      </c>
      <c r="U27" s="22">
        <v>2.0799999999999998E-3</v>
      </c>
      <c r="V27" s="24">
        <f>0.5* 0.02</f>
        <v>0.01</v>
      </c>
      <c r="W27" s="24">
        <f>0.5* 0.002</f>
        <v>1E-3</v>
      </c>
    </row>
    <row r="28" spans="1:23">
      <c r="A28" s="20" t="s">
        <v>11</v>
      </c>
      <c r="B28" s="136" t="s">
        <v>121</v>
      </c>
      <c r="C28" s="137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8"/>
    </row>
    <row r="29" spans="1:23">
      <c r="A29" s="14"/>
      <c r="B29" s="15" t="s">
        <v>100</v>
      </c>
      <c r="C29" s="29">
        <f t="shared" ref="C29:W29" si="3">MIN(C3:C27)</f>
        <v>8</v>
      </c>
      <c r="D29" s="29">
        <f t="shared" si="3"/>
        <v>3140</v>
      </c>
      <c r="E29" s="30">
        <f t="shared" si="3"/>
        <v>1150</v>
      </c>
      <c r="F29" s="30">
        <f t="shared" si="3"/>
        <v>7.28</v>
      </c>
      <c r="G29" s="16">
        <f t="shared" si="3"/>
        <v>2720</v>
      </c>
      <c r="H29" s="30">
        <f t="shared" si="3"/>
        <v>1.1499999999999999</v>
      </c>
      <c r="I29" s="31">
        <f t="shared" si="3"/>
        <v>1.34E-2</v>
      </c>
      <c r="J29" s="31">
        <f t="shared" si="3"/>
        <v>0.25</v>
      </c>
      <c r="K29" s="30">
        <f t="shared" si="3"/>
        <v>1930</v>
      </c>
      <c r="L29" s="64">
        <f t="shared" si="3"/>
        <v>1.5699999999999999E-2</v>
      </c>
      <c r="M29" s="31">
        <f t="shared" si="3"/>
        <v>2.5000000000000001E-3</v>
      </c>
      <c r="N29" s="31">
        <f t="shared" si="3"/>
        <v>2.0899999999999998E-2</v>
      </c>
      <c r="O29" s="30">
        <f t="shared" si="3"/>
        <v>0.25</v>
      </c>
      <c r="P29" s="31">
        <f t="shared" si="3"/>
        <v>4.0299999999999997E-3</v>
      </c>
      <c r="Q29" s="38">
        <f t="shared" si="3"/>
        <v>1E-3</v>
      </c>
      <c r="R29" s="31">
        <f t="shared" si="3"/>
        <v>0.182</v>
      </c>
      <c r="S29" s="38">
        <f t="shared" si="3"/>
        <v>2.8700000000000002E-3</v>
      </c>
      <c r="T29" s="37">
        <f t="shared" si="3"/>
        <v>0.35099999999999998</v>
      </c>
      <c r="U29" s="38">
        <f t="shared" si="3"/>
        <v>8.3000000000000001E-4</v>
      </c>
      <c r="V29" s="31">
        <f t="shared" si="3"/>
        <v>0.01</v>
      </c>
      <c r="W29" s="38">
        <f t="shared" si="3"/>
        <v>5.0000000000000001E-4</v>
      </c>
    </row>
    <row r="30" spans="1:23">
      <c r="A30" s="14"/>
      <c r="B30" s="15" t="s">
        <v>101</v>
      </c>
      <c r="C30" s="29">
        <f t="shared" ref="C30:W30" si="4">MAX(C3:C27)</f>
        <v>21.3</v>
      </c>
      <c r="D30" s="29">
        <f t="shared" si="4"/>
        <v>4570</v>
      </c>
      <c r="E30" s="30">
        <f t="shared" si="4"/>
        <v>1870</v>
      </c>
      <c r="F30" s="30">
        <f t="shared" si="4"/>
        <v>7.93</v>
      </c>
      <c r="G30" s="16">
        <f t="shared" si="4"/>
        <v>4270</v>
      </c>
      <c r="H30" s="30">
        <f t="shared" si="4"/>
        <v>7.8</v>
      </c>
      <c r="I30" s="31">
        <f t="shared" si="4"/>
        <v>8.6999999999999994E-2</v>
      </c>
      <c r="J30" s="31">
        <f t="shared" si="4"/>
        <v>1.1000000000000001</v>
      </c>
      <c r="K30" s="30">
        <f t="shared" si="4"/>
        <v>3080</v>
      </c>
      <c r="L30" s="64">
        <f t="shared" si="4"/>
        <v>7.0900000000000005E-2</v>
      </c>
      <c r="M30" s="31">
        <f t="shared" si="4"/>
        <v>3.5700000000000003E-2</v>
      </c>
      <c r="N30" s="31">
        <f t="shared" si="4"/>
        <v>8.7400000000000005E-2</v>
      </c>
      <c r="O30" s="30">
        <f t="shared" si="4"/>
        <v>1.25</v>
      </c>
      <c r="P30" s="31">
        <f t="shared" si="4"/>
        <v>8.8000000000000005E-3</v>
      </c>
      <c r="Q30" s="38">
        <f t="shared" si="4"/>
        <v>1.6400000000000001E-2</v>
      </c>
      <c r="R30" s="31">
        <f t="shared" si="4"/>
        <v>0.70199999999999996</v>
      </c>
      <c r="S30" s="38">
        <f t="shared" si="4"/>
        <v>5.64E-3</v>
      </c>
      <c r="T30" s="37">
        <f t="shared" si="4"/>
        <v>0.86299999999999999</v>
      </c>
      <c r="U30" s="38">
        <f t="shared" si="4"/>
        <v>1.17E-2</v>
      </c>
      <c r="V30" s="31">
        <f t="shared" si="4"/>
        <v>5.7000000000000002E-2</v>
      </c>
      <c r="W30" s="38">
        <f t="shared" si="4"/>
        <v>2.5000000000000001E-3</v>
      </c>
    </row>
    <row r="31" spans="1:23">
      <c r="A31" s="14"/>
      <c r="B31" s="15" t="s">
        <v>102</v>
      </c>
      <c r="C31" s="29">
        <f t="shared" ref="C31:W31" si="5">AVERAGE(C3:C27)</f>
        <v>16.632000000000001</v>
      </c>
      <c r="D31" s="29">
        <f t="shared" si="5"/>
        <v>3700</v>
      </c>
      <c r="E31" s="30">
        <f t="shared" si="5"/>
        <v>1484.8</v>
      </c>
      <c r="F31" s="30">
        <f t="shared" si="5"/>
        <v>7.7528000000000006</v>
      </c>
      <c r="G31" s="16">
        <f t="shared" si="5"/>
        <v>3415.2</v>
      </c>
      <c r="H31" s="30">
        <f t="shared" si="5"/>
        <v>2.2439999999999998</v>
      </c>
      <c r="I31" s="31">
        <f t="shared" si="5"/>
        <v>5.4207999999999992E-2</v>
      </c>
      <c r="J31" s="31">
        <f t="shared" si="5"/>
        <v>0.46279999999999993</v>
      </c>
      <c r="K31" s="30">
        <f t="shared" si="5"/>
        <v>2300</v>
      </c>
      <c r="L31" s="64">
        <f t="shared" si="5"/>
        <v>3.1663999999999998E-2</v>
      </c>
      <c r="M31" s="31">
        <f t="shared" si="5"/>
        <v>8.7480000000000006E-3</v>
      </c>
      <c r="N31" s="31">
        <f t="shared" si="5"/>
        <v>4.0411999999999997E-2</v>
      </c>
      <c r="O31" s="30">
        <f t="shared" si="5"/>
        <v>0.56999999999999995</v>
      </c>
      <c r="P31" s="31">
        <f t="shared" si="5"/>
        <v>5.5459999999999997E-3</v>
      </c>
      <c r="Q31" s="38">
        <f t="shared" si="5"/>
        <v>3.7744000000000007E-3</v>
      </c>
      <c r="R31" s="31">
        <f t="shared" si="5"/>
        <v>0.26647999999999999</v>
      </c>
      <c r="S31" s="38">
        <f t="shared" si="5"/>
        <v>3.9448E-3</v>
      </c>
      <c r="T31" s="37">
        <f t="shared" si="5"/>
        <v>0.54683999999999999</v>
      </c>
      <c r="U31" s="38">
        <f t="shared" si="5"/>
        <v>3.0376000000000001E-3</v>
      </c>
      <c r="V31" s="31">
        <f t="shared" si="5"/>
        <v>2.3600000000000003E-2</v>
      </c>
      <c r="W31" s="38">
        <f t="shared" si="5"/>
        <v>1.1480000000000004E-3</v>
      </c>
    </row>
    <row r="32" spans="1:23">
      <c r="A32" s="14"/>
      <c r="B32" s="15" t="s">
        <v>103</v>
      </c>
      <c r="C32" s="29">
        <f t="shared" ref="C32:W32" si="6">_xlfn.STDEV.P(C3:C27)</f>
        <v>3.9747925732042835</v>
      </c>
      <c r="D32" s="29">
        <f t="shared" si="6"/>
        <v>432.33320483164374</v>
      </c>
      <c r="E32" s="30">
        <f t="shared" si="6"/>
        <v>200.02239874574047</v>
      </c>
      <c r="F32" s="30">
        <f t="shared" si="6"/>
        <v>0.16031269444432653</v>
      </c>
      <c r="G32" s="16">
        <f t="shared" si="6"/>
        <v>494.16693535686903</v>
      </c>
      <c r="H32" s="30">
        <f t="shared" si="6"/>
        <v>1.5242099592903857</v>
      </c>
      <c r="I32" s="31">
        <f t="shared" si="6"/>
        <v>1.6917373791460688E-2</v>
      </c>
      <c r="J32" s="31">
        <f t="shared" si="6"/>
        <v>0.18576372089296672</v>
      </c>
      <c r="K32" s="30">
        <f t="shared" si="6"/>
        <v>327.51183184733952</v>
      </c>
      <c r="L32" s="64">
        <f t="shared" si="6"/>
        <v>1.3449368163597869E-2</v>
      </c>
      <c r="M32" s="31">
        <f t="shared" si="6"/>
        <v>7.5996378861101031E-3</v>
      </c>
      <c r="N32" s="31">
        <f t="shared" si="6"/>
        <v>1.5062146460581224E-2</v>
      </c>
      <c r="O32" s="30">
        <f t="shared" si="6"/>
        <v>0.46647615158762401</v>
      </c>
      <c r="P32" s="31">
        <f t="shared" si="6"/>
        <v>1.202926431665711E-3</v>
      </c>
      <c r="Q32" s="38">
        <f t="shared" si="6"/>
        <v>3.3149191000686569E-3</v>
      </c>
      <c r="R32" s="31">
        <f t="shared" si="6"/>
        <v>0.11128993485486453</v>
      </c>
      <c r="S32" s="38">
        <f t="shared" si="6"/>
        <v>6.8976587332224531E-4</v>
      </c>
      <c r="T32" s="37">
        <f t="shared" si="6"/>
        <v>0.14223942632055281</v>
      </c>
      <c r="U32" s="38">
        <f t="shared" si="6"/>
        <v>2.5081710946424688E-3</v>
      </c>
      <c r="V32" s="31">
        <f t="shared" si="6"/>
        <v>1.559230579484637E-2</v>
      </c>
      <c r="W32" s="38">
        <f t="shared" si="6"/>
        <v>4.7338779029459553E-4</v>
      </c>
    </row>
    <row r="33" spans="1:23" ht="12.75" customHeight="1">
      <c r="A33" s="17"/>
      <c r="B33" s="131" t="s">
        <v>112</v>
      </c>
      <c r="C33" s="130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</row>
    <row r="34" spans="1:23" ht="12.75" customHeight="1">
      <c r="A34" s="17"/>
      <c r="B34" s="130" t="s">
        <v>117</v>
      </c>
      <c r="C34" s="130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130"/>
    </row>
    <row r="35" spans="1:23" ht="12.75" customHeight="1">
      <c r="A35" s="17"/>
      <c r="B35" s="130" t="s">
        <v>114</v>
      </c>
      <c r="C35" s="130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  <c r="W35" s="130"/>
    </row>
    <row r="36" spans="1:23" ht="12.75" customHeight="1">
      <c r="A36" s="17"/>
      <c r="B36" s="130" t="s">
        <v>108</v>
      </c>
      <c r="C36" s="130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</row>
    <row r="37" spans="1:23" ht="12.75" customHeight="1">
      <c r="A37" s="18"/>
      <c r="B37" s="130" t="s">
        <v>115</v>
      </c>
      <c r="C37" s="130"/>
      <c r="D37" s="130"/>
      <c r="E37" s="130"/>
      <c r="F37" s="130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30"/>
      <c r="W37" s="130"/>
    </row>
    <row r="38" spans="1:23" ht="12.75" customHeight="1"/>
  </sheetData>
  <mergeCells count="7">
    <mergeCell ref="B2:W2"/>
    <mergeCell ref="B28:W28"/>
    <mergeCell ref="B37:W37"/>
    <mergeCell ref="B33:W33"/>
    <mergeCell ref="B34:W34"/>
    <mergeCell ref="B35:W35"/>
    <mergeCell ref="B36:W36"/>
  </mergeCells>
  <printOptions horizontalCentered="1"/>
  <pageMargins left="0.25" right="0.25" top="1.0833333333333299" bottom="0.75" header="0.3" footer="0.3"/>
  <pageSetup orientation="portrait" r:id="rId1"/>
  <headerFooter alignWithMargins="0">
    <oddHeader>&amp;LBarrick Gold Inc. - Nickel Plate Mine&amp;C&amp;"-,Regular"&amp;18
Table 16 - LT #1 (Discharge to Hedley Creek) (E223876) Data&amp;RAnnual Report, 2017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E64"/>
  <sheetViews>
    <sheetView zoomScaleNormal="100" workbookViewId="0">
      <pane xSplit="2" ySplit="1" topLeftCell="U51" activePane="bottomRight" state="frozen"/>
      <selection activeCell="B33" sqref="B33"/>
      <selection pane="topRight" activeCell="B33" sqref="B33"/>
      <selection pane="bottomLeft" activeCell="B33" sqref="B33"/>
      <selection pane="bottomRight" activeCell="B33" sqref="B33"/>
    </sheetView>
  </sheetViews>
  <sheetFormatPr defaultColWidth="9.1328125" defaultRowHeight="15.75"/>
  <cols>
    <col min="1" max="1" width="12" style="19" bestFit="1" customWidth="1"/>
    <col min="2" max="2" width="11" style="23" bestFit="1" customWidth="1"/>
    <col min="3" max="3" width="5.265625" style="19" bestFit="1" customWidth="1"/>
    <col min="4" max="4" width="8.59765625" style="19" bestFit="1" customWidth="1"/>
    <col min="5" max="5" width="8" style="19" bestFit="1" customWidth="1"/>
    <col min="6" max="7" width="5.73046875" style="19" bestFit="1" customWidth="1"/>
    <col min="8" max="9" width="6.86328125" style="19" bestFit="1" customWidth="1"/>
    <col min="10" max="10" width="8.1328125" style="19" bestFit="1" customWidth="1"/>
    <col min="11" max="11" width="8" style="19" bestFit="1" customWidth="1"/>
    <col min="12" max="12" width="8.1328125" style="19" bestFit="1" customWidth="1"/>
    <col min="13" max="13" width="8" style="19" bestFit="1" customWidth="1"/>
    <col min="14" max="14" width="8" style="74" bestFit="1" customWidth="1"/>
    <col min="15" max="16" width="8.1328125" style="19" bestFit="1" customWidth="1"/>
    <col min="17" max="17" width="5.86328125" style="19" bestFit="1" customWidth="1"/>
    <col min="18" max="18" width="8" style="19" bestFit="1" customWidth="1"/>
    <col min="19" max="19" width="11.3984375" style="19" bestFit="1" customWidth="1"/>
    <col min="20" max="20" width="10.265625" style="19" bestFit="1" customWidth="1"/>
    <col min="21" max="21" width="10.3984375" style="19" customWidth="1"/>
    <col min="22" max="22" width="11.59765625" style="19" bestFit="1" customWidth="1"/>
    <col min="23" max="24" width="10.265625" style="19" bestFit="1" customWidth="1"/>
    <col min="25" max="25" width="11.59765625" style="19" bestFit="1" customWidth="1"/>
    <col min="26" max="27" width="9.1328125" style="19" bestFit="1" customWidth="1"/>
    <col min="28" max="28" width="11.3984375" style="19" bestFit="1" customWidth="1"/>
    <col min="29" max="29" width="9.1328125" style="19" bestFit="1" customWidth="1"/>
    <col min="30" max="30" width="8.1328125" style="19" bestFit="1" customWidth="1"/>
    <col min="31" max="31" width="9.265625" style="19" bestFit="1" customWidth="1"/>
    <col min="32" max="16384" width="9.1328125" style="19"/>
  </cols>
  <sheetData>
    <row r="1" spans="1:31" ht="132">
      <c r="A1" s="1" t="s">
        <v>45</v>
      </c>
      <c r="B1" s="2" t="s">
        <v>46</v>
      </c>
      <c r="C1" s="5" t="s">
        <v>50</v>
      </c>
      <c r="D1" s="5" t="s">
        <v>51</v>
      </c>
      <c r="E1" s="71" t="s">
        <v>0</v>
      </c>
      <c r="F1" s="4" t="s">
        <v>52</v>
      </c>
      <c r="G1" s="71" t="s">
        <v>53</v>
      </c>
      <c r="H1" s="71" t="s">
        <v>54</v>
      </c>
      <c r="I1" s="5" t="s">
        <v>55</v>
      </c>
      <c r="J1" s="5" t="s">
        <v>56</v>
      </c>
      <c r="K1" s="7" t="s">
        <v>57</v>
      </c>
      <c r="L1" s="7" t="s">
        <v>58</v>
      </c>
      <c r="M1" s="5" t="s">
        <v>59</v>
      </c>
      <c r="N1" s="73" t="s">
        <v>105</v>
      </c>
      <c r="O1" s="7" t="s">
        <v>60</v>
      </c>
      <c r="P1" s="7" t="s">
        <v>61</v>
      </c>
      <c r="Q1" s="4" t="s">
        <v>62</v>
      </c>
      <c r="R1" s="8" t="s">
        <v>65</v>
      </c>
      <c r="S1" s="8" t="s">
        <v>67</v>
      </c>
      <c r="T1" s="9" t="s">
        <v>69</v>
      </c>
      <c r="U1" s="8" t="s">
        <v>72</v>
      </c>
      <c r="V1" s="11" t="s">
        <v>74</v>
      </c>
      <c r="W1" s="8" t="s">
        <v>75</v>
      </c>
      <c r="X1" s="10" t="s">
        <v>77</v>
      </c>
      <c r="Y1" s="8" t="s">
        <v>78</v>
      </c>
      <c r="Z1" s="10" t="s">
        <v>80</v>
      </c>
      <c r="AA1" s="10" t="s">
        <v>82</v>
      </c>
      <c r="AB1" s="9" t="s">
        <v>85</v>
      </c>
      <c r="AC1" s="10" t="s">
        <v>86</v>
      </c>
      <c r="AD1" s="7" t="s">
        <v>87</v>
      </c>
      <c r="AE1" s="10" t="s">
        <v>95</v>
      </c>
    </row>
    <row r="2" spans="1:31">
      <c r="A2" s="20" t="s">
        <v>19</v>
      </c>
      <c r="B2" s="21">
        <v>42740.5</v>
      </c>
      <c r="C2" s="27">
        <v>-0.3</v>
      </c>
      <c r="D2" s="22">
        <v>1250</v>
      </c>
      <c r="E2" s="22">
        <v>709</v>
      </c>
      <c r="F2" s="22">
        <v>8.16</v>
      </c>
      <c r="G2" s="25" t="s">
        <v>96</v>
      </c>
      <c r="H2" s="22">
        <v>1030</v>
      </c>
      <c r="I2" s="22">
        <v>0.26</v>
      </c>
      <c r="J2" s="24">
        <f>0.5* 0.005</f>
        <v>2.5000000000000001E-3</v>
      </c>
      <c r="K2" s="22">
        <v>3.5</v>
      </c>
      <c r="L2" s="25" t="s">
        <v>96</v>
      </c>
      <c r="M2" s="22">
        <v>592</v>
      </c>
      <c r="N2" s="72">
        <f>P2-O2</f>
        <v>0</v>
      </c>
      <c r="O2" s="24">
        <f>0.5* 0.005</f>
        <v>2.5000000000000001E-3</v>
      </c>
      <c r="P2" s="24">
        <f>0.5* 0.005</f>
        <v>2.5000000000000001E-3</v>
      </c>
      <c r="Q2" s="24">
        <f>0.5* 0.5</f>
        <v>0.25</v>
      </c>
      <c r="R2" s="25" t="s">
        <v>96</v>
      </c>
      <c r="S2" s="25" t="s">
        <v>96</v>
      </c>
      <c r="T2" s="25" t="s">
        <v>96</v>
      </c>
      <c r="U2" s="25" t="s">
        <v>96</v>
      </c>
      <c r="V2" s="25" t="s">
        <v>96</v>
      </c>
      <c r="W2" s="25" t="s">
        <v>96</v>
      </c>
      <c r="X2" s="25" t="s">
        <v>96</v>
      </c>
      <c r="Y2" s="25" t="s">
        <v>96</v>
      </c>
      <c r="Z2" s="25" t="s">
        <v>96</v>
      </c>
      <c r="AA2" s="22">
        <v>1.52E-2</v>
      </c>
      <c r="AB2" s="22">
        <v>6.6800000000000002E-3</v>
      </c>
      <c r="AC2" s="22">
        <v>5.0000000000000001E-4</v>
      </c>
      <c r="AD2" s="24">
        <f>0.5* 0.001</f>
        <v>5.0000000000000001E-4</v>
      </c>
      <c r="AE2" s="22">
        <v>6.0999999999999997E-4</v>
      </c>
    </row>
    <row r="3" spans="1:31">
      <c r="A3" s="20" t="s">
        <v>19</v>
      </c>
      <c r="B3" s="21">
        <v>42745.5</v>
      </c>
      <c r="C3" s="25" t="s">
        <v>96</v>
      </c>
      <c r="D3" s="25" t="s">
        <v>96</v>
      </c>
      <c r="E3" s="25" t="s">
        <v>96</v>
      </c>
      <c r="F3" s="25" t="s">
        <v>96</v>
      </c>
      <c r="G3" s="25" t="s">
        <v>96</v>
      </c>
      <c r="H3" s="25" t="s">
        <v>96</v>
      </c>
      <c r="I3" s="22">
        <v>0.17</v>
      </c>
      <c r="J3" s="25" t="s">
        <v>96</v>
      </c>
      <c r="K3" s="22">
        <v>3.59</v>
      </c>
      <c r="L3" s="25" t="s">
        <v>96</v>
      </c>
      <c r="M3" s="25" t="s">
        <v>96</v>
      </c>
      <c r="N3" s="25" t="s">
        <v>96</v>
      </c>
      <c r="O3" s="25" t="s">
        <v>96</v>
      </c>
      <c r="P3" s="25" t="s">
        <v>96</v>
      </c>
      <c r="Q3" s="25" t="s">
        <v>96</v>
      </c>
      <c r="R3" s="25" t="s">
        <v>96</v>
      </c>
      <c r="S3" s="25" t="s">
        <v>96</v>
      </c>
      <c r="T3" s="25" t="s">
        <v>96</v>
      </c>
      <c r="U3" s="25" t="s">
        <v>96</v>
      </c>
      <c r="V3" s="25" t="s">
        <v>96</v>
      </c>
      <c r="W3" s="25" t="s">
        <v>96</v>
      </c>
      <c r="X3" s="25" t="s">
        <v>96</v>
      </c>
      <c r="Y3" s="25" t="s">
        <v>96</v>
      </c>
      <c r="Z3" s="25" t="s">
        <v>96</v>
      </c>
      <c r="AA3" s="25" t="s">
        <v>96</v>
      </c>
      <c r="AB3" s="25" t="s">
        <v>96</v>
      </c>
      <c r="AC3" s="25" t="s">
        <v>96</v>
      </c>
      <c r="AD3" s="25" t="s">
        <v>96</v>
      </c>
      <c r="AE3" s="25" t="s">
        <v>96</v>
      </c>
    </row>
    <row r="4" spans="1:31">
      <c r="A4" s="20" t="s">
        <v>19</v>
      </c>
      <c r="B4" s="21">
        <v>42752</v>
      </c>
      <c r="C4" s="25" t="s">
        <v>96</v>
      </c>
      <c r="D4" s="25" t="s">
        <v>96</v>
      </c>
      <c r="E4" s="25" t="s">
        <v>96</v>
      </c>
      <c r="F4" s="25" t="s">
        <v>96</v>
      </c>
      <c r="G4" s="25" t="s">
        <v>96</v>
      </c>
      <c r="H4" s="25" t="s">
        <v>96</v>
      </c>
      <c r="I4" s="22">
        <v>0.26</v>
      </c>
      <c r="J4" s="25" t="s">
        <v>96</v>
      </c>
      <c r="K4" s="22">
        <v>3.57</v>
      </c>
      <c r="L4" s="25" t="s">
        <v>96</v>
      </c>
      <c r="M4" s="25" t="s">
        <v>96</v>
      </c>
      <c r="N4" s="25" t="s">
        <v>96</v>
      </c>
      <c r="O4" s="25" t="s">
        <v>96</v>
      </c>
      <c r="P4" s="25" t="s">
        <v>96</v>
      </c>
      <c r="Q4" s="25" t="s">
        <v>96</v>
      </c>
      <c r="R4" s="25" t="s">
        <v>96</v>
      </c>
      <c r="S4" s="25" t="s">
        <v>96</v>
      </c>
      <c r="T4" s="25" t="s">
        <v>96</v>
      </c>
      <c r="U4" s="25" t="s">
        <v>96</v>
      </c>
      <c r="V4" s="25" t="s">
        <v>96</v>
      </c>
      <c r="W4" s="25" t="s">
        <v>96</v>
      </c>
      <c r="X4" s="25" t="s">
        <v>96</v>
      </c>
      <c r="Y4" s="25" t="s">
        <v>96</v>
      </c>
      <c r="Z4" s="25" t="s">
        <v>96</v>
      </c>
      <c r="AA4" s="25" t="s">
        <v>96</v>
      </c>
      <c r="AB4" s="25" t="s">
        <v>96</v>
      </c>
      <c r="AC4" s="25" t="s">
        <v>96</v>
      </c>
      <c r="AD4" s="25" t="s">
        <v>96</v>
      </c>
      <c r="AE4" s="25" t="s">
        <v>96</v>
      </c>
    </row>
    <row r="5" spans="1:31">
      <c r="A5" s="20" t="s">
        <v>19</v>
      </c>
      <c r="B5" s="21">
        <v>42759.5</v>
      </c>
      <c r="C5" s="25" t="s">
        <v>96</v>
      </c>
      <c r="D5" s="25" t="s">
        <v>96</v>
      </c>
      <c r="E5" s="25" t="s">
        <v>96</v>
      </c>
      <c r="F5" s="25" t="s">
        <v>96</v>
      </c>
      <c r="G5" s="25" t="s">
        <v>96</v>
      </c>
      <c r="H5" s="25" t="s">
        <v>96</v>
      </c>
      <c r="I5" s="22">
        <v>0.28000000000000003</v>
      </c>
      <c r="J5" s="25" t="s">
        <v>96</v>
      </c>
      <c r="K5" s="22">
        <v>3.57</v>
      </c>
      <c r="L5" s="25" t="s">
        <v>96</v>
      </c>
      <c r="M5" s="25" t="s">
        <v>96</v>
      </c>
      <c r="N5" s="25" t="s">
        <v>96</v>
      </c>
      <c r="O5" s="25" t="s">
        <v>96</v>
      </c>
      <c r="P5" s="25" t="s">
        <v>96</v>
      </c>
      <c r="Q5" s="25" t="s">
        <v>96</v>
      </c>
      <c r="R5" s="25" t="s">
        <v>96</v>
      </c>
      <c r="S5" s="25" t="s">
        <v>96</v>
      </c>
      <c r="T5" s="25" t="s">
        <v>96</v>
      </c>
      <c r="U5" s="25" t="s">
        <v>96</v>
      </c>
      <c r="V5" s="25" t="s">
        <v>96</v>
      </c>
      <c r="W5" s="25" t="s">
        <v>96</v>
      </c>
      <c r="X5" s="25" t="s">
        <v>96</v>
      </c>
      <c r="Y5" s="25" t="s">
        <v>96</v>
      </c>
      <c r="Z5" s="25" t="s">
        <v>96</v>
      </c>
      <c r="AA5" s="25" t="s">
        <v>96</v>
      </c>
      <c r="AB5" s="25" t="s">
        <v>96</v>
      </c>
      <c r="AC5" s="25" t="s">
        <v>96</v>
      </c>
      <c r="AD5" s="25" t="s">
        <v>96</v>
      </c>
      <c r="AE5" s="25" t="s">
        <v>96</v>
      </c>
    </row>
    <row r="6" spans="1:31">
      <c r="A6" s="20" t="s">
        <v>19</v>
      </c>
      <c r="B6" s="21">
        <v>42766</v>
      </c>
      <c r="C6" s="25" t="s">
        <v>96</v>
      </c>
      <c r="D6" s="25" t="s">
        <v>96</v>
      </c>
      <c r="E6" s="25" t="s">
        <v>96</v>
      </c>
      <c r="F6" s="25" t="s">
        <v>96</v>
      </c>
      <c r="G6" s="25" t="s">
        <v>96</v>
      </c>
      <c r="H6" s="25" t="s">
        <v>96</v>
      </c>
      <c r="I6" s="22">
        <v>0.25</v>
      </c>
      <c r="J6" s="25" t="s">
        <v>96</v>
      </c>
      <c r="K6" s="22">
        <v>3.58</v>
      </c>
      <c r="L6" s="25" t="s">
        <v>96</v>
      </c>
      <c r="M6" s="25" t="s">
        <v>96</v>
      </c>
      <c r="N6" s="25" t="s">
        <v>96</v>
      </c>
      <c r="O6" s="25" t="s">
        <v>96</v>
      </c>
      <c r="P6" s="25" t="s">
        <v>96</v>
      </c>
      <c r="Q6" s="25" t="s">
        <v>96</v>
      </c>
      <c r="R6" s="25" t="s">
        <v>96</v>
      </c>
      <c r="S6" s="25" t="s">
        <v>96</v>
      </c>
      <c r="T6" s="25" t="s">
        <v>96</v>
      </c>
      <c r="U6" s="25" t="s">
        <v>96</v>
      </c>
      <c r="V6" s="25" t="s">
        <v>96</v>
      </c>
      <c r="W6" s="25" t="s">
        <v>96</v>
      </c>
      <c r="X6" s="25" t="s">
        <v>96</v>
      </c>
      <c r="Y6" s="25" t="s">
        <v>96</v>
      </c>
      <c r="Z6" s="25" t="s">
        <v>96</v>
      </c>
      <c r="AA6" s="25" t="s">
        <v>96</v>
      </c>
      <c r="AB6" s="25" t="s">
        <v>96</v>
      </c>
      <c r="AC6" s="25" t="s">
        <v>96</v>
      </c>
      <c r="AD6" s="25" t="s">
        <v>96</v>
      </c>
      <c r="AE6" s="25" t="s">
        <v>96</v>
      </c>
    </row>
    <row r="7" spans="1:31">
      <c r="A7" s="20" t="s">
        <v>19</v>
      </c>
      <c r="B7" s="21">
        <v>42774.5</v>
      </c>
      <c r="C7" s="22">
        <v>-0.6</v>
      </c>
      <c r="D7" s="22">
        <v>1290</v>
      </c>
      <c r="E7" s="22">
        <v>745</v>
      </c>
      <c r="F7" s="22">
        <v>8.2100000000000009</v>
      </c>
      <c r="G7" s="22">
        <v>3.4</v>
      </c>
      <c r="H7" s="22">
        <v>1100</v>
      </c>
      <c r="I7" s="22">
        <v>0.79</v>
      </c>
      <c r="J7" s="24">
        <f>0.5* 0.005</f>
        <v>2.5000000000000001E-3</v>
      </c>
      <c r="K7" s="22">
        <v>3.62</v>
      </c>
      <c r="L7" s="24">
        <f>0.5* 0.005</f>
        <v>2.5000000000000001E-3</v>
      </c>
      <c r="M7" s="22">
        <v>602</v>
      </c>
      <c r="N7" s="72">
        <f t="shared" ref="N7:N51" si="0">P7-O7</f>
        <v>0</v>
      </c>
      <c r="O7" s="24">
        <f>0.5* 0.005</f>
        <v>2.5000000000000001E-3</v>
      </c>
      <c r="P7" s="24">
        <f>0.5* 0.005</f>
        <v>2.5000000000000001E-3</v>
      </c>
      <c r="Q7" s="24">
        <f>0.5* 0.5</f>
        <v>0.25</v>
      </c>
      <c r="R7" s="22">
        <v>1.38E-2</v>
      </c>
      <c r="S7" s="22">
        <v>1.03E-4</v>
      </c>
      <c r="T7" s="22">
        <v>6.4799999999999996E-3</v>
      </c>
      <c r="U7" s="22">
        <v>3.0000000000000001E-5</v>
      </c>
      <c r="V7" s="24">
        <f>0.5* 0.000005</f>
        <v>2.5000000000000002E-6</v>
      </c>
      <c r="W7" s="22">
        <v>4.9300000000000004E-3</v>
      </c>
      <c r="X7" s="22">
        <v>1.43E-2</v>
      </c>
      <c r="Y7" s="24">
        <f>0.5* 0.000005</f>
        <v>2.5000000000000002E-6</v>
      </c>
      <c r="Z7" s="22">
        <v>9.2000000000000003E-4</v>
      </c>
      <c r="AA7" s="22">
        <v>1.4500000000000001E-2</v>
      </c>
      <c r="AB7" s="22">
        <v>7.0899999999999999E-3</v>
      </c>
      <c r="AC7" s="22">
        <v>5.0000000000000001E-4</v>
      </c>
      <c r="AD7" s="24">
        <f>0.5* 0.001</f>
        <v>5.0000000000000001E-4</v>
      </c>
      <c r="AE7" s="24">
        <f>0.5* 0.0005</f>
        <v>2.5000000000000001E-4</v>
      </c>
    </row>
    <row r="8" spans="1:31">
      <c r="A8" s="20" t="s">
        <v>19</v>
      </c>
      <c r="B8" s="21">
        <v>42781.5</v>
      </c>
      <c r="C8" s="25" t="s">
        <v>96</v>
      </c>
      <c r="D8" s="25" t="s">
        <v>96</v>
      </c>
      <c r="E8" s="25" t="s">
        <v>96</v>
      </c>
      <c r="F8" s="25" t="s">
        <v>96</v>
      </c>
      <c r="G8" s="25" t="s">
        <v>96</v>
      </c>
      <c r="H8" s="25" t="s">
        <v>96</v>
      </c>
      <c r="I8" s="22">
        <v>0.27</v>
      </c>
      <c r="J8" s="25" t="s">
        <v>96</v>
      </c>
      <c r="K8" s="22">
        <v>3.47</v>
      </c>
      <c r="L8" s="25" t="s">
        <v>96</v>
      </c>
      <c r="M8" s="25" t="s">
        <v>96</v>
      </c>
      <c r="N8" s="25" t="s">
        <v>96</v>
      </c>
      <c r="O8" s="25" t="s">
        <v>96</v>
      </c>
      <c r="P8" s="25" t="s">
        <v>96</v>
      </c>
      <c r="Q8" s="25" t="s">
        <v>96</v>
      </c>
      <c r="R8" s="25" t="s">
        <v>96</v>
      </c>
      <c r="S8" s="25" t="s">
        <v>96</v>
      </c>
      <c r="T8" s="25" t="s">
        <v>96</v>
      </c>
      <c r="U8" s="25" t="s">
        <v>96</v>
      </c>
      <c r="V8" s="25" t="s">
        <v>96</v>
      </c>
      <c r="W8" s="25" t="s">
        <v>96</v>
      </c>
      <c r="X8" s="25" t="s">
        <v>96</v>
      </c>
      <c r="Y8" s="25" t="s">
        <v>96</v>
      </c>
      <c r="Z8" s="25" t="s">
        <v>96</v>
      </c>
      <c r="AA8" s="25" t="s">
        <v>96</v>
      </c>
      <c r="AB8" s="25" t="s">
        <v>96</v>
      </c>
      <c r="AC8" s="25" t="s">
        <v>96</v>
      </c>
      <c r="AD8" s="25" t="s">
        <v>96</v>
      </c>
      <c r="AE8" s="25" t="s">
        <v>96</v>
      </c>
    </row>
    <row r="9" spans="1:31">
      <c r="A9" s="20" t="s">
        <v>19</v>
      </c>
      <c r="B9" s="21">
        <v>42787.5</v>
      </c>
      <c r="C9" s="25" t="s">
        <v>96</v>
      </c>
      <c r="D9" s="25" t="s">
        <v>96</v>
      </c>
      <c r="E9" s="25" t="s">
        <v>96</v>
      </c>
      <c r="F9" s="25" t="s">
        <v>96</v>
      </c>
      <c r="G9" s="25" t="s">
        <v>96</v>
      </c>
      <c r="H9" s="25" t="s">
        <v>96</v>
      </c>
      <c r="I9" s="22">
        <v>0.15</v>
      </c>
      <c r="J9" s="25" t="s">
        <v>96</v>
      </c>
      <c r="K9" s="22">
        <v>3.5</v>
      </c>
      <c r="L9" s="25" t="s">
        <v>96</v>
      </c>
      <c r="M9" s="25" t="s">
        <v>96</v>
      </c>
      <c r="N9" s="25" t="s">
        <v>96</v>
      </c>
      <c r="O9" s="25" t="s">
        <v>96</v>
      </c>
      <c r="P9" s="25" t="s">
        <v>96</v>
      </c>
      <c r="Q9" s="25" t="s">
        <v>96</v>
      </c>
      <c r="R9" s="25" t="s">
        <v>96</v>
      </c>
      <c r="S9" s="25" t="s">
        <v>96</v>
      </c>
      <c r="T9" s="25" t="s">
        <v>96</v>
      </c>
      <c r="U9" s="25" t="s">
        <v>96</v>
      </c>
      <c r="V9" s="25" t="s">
        <v>96</v>
      </c>
      <c r="W9" s="25" t="s">
        <v>96</v>
      </c>
      <c r="X9" s="25" t="s">
        <v>96</v>
      </c>
      <c r="Y9" s="25" t="s">
        <v>96</v>
      </c>
      <c r="Z9" s="25" t="s">
        <v>96</v>
      </c>
      <c r="AA9" s="25" t="s">
        <v>96</v>
      </c>
      <c r="AB9" s="25" t="s">
        <v>96</v>
      </c>
      <c r="AC9" s="25" t="s">
        <v>96</v>
      </c>
      <c r="AD9" s="25" t="s">
        <v>96</v>
      </c>
      <c r="AE9" s="25" t="s">
        <v>96</v>
      </c>
    </row>
    <row r="10" spans="1:31">
      <c r="A10" s="20" t="s">
        <v>19</v>
      </c>
      <c r="B10" s="21">
        <v>42794.5</v>
      </c>
      <c r="C10" s="25" t="s">
        <v>96</v>
      </c>
      <c r="D10" s="25" t="s">
        <v>96</v>
      </c>
      <c r="E10" s="25" t="s">
        <v>96</v>
      </c>
      <c r="F10" s="25" t="s">
        <v>96</v>
      </c>
      <c r="G10" s="25" t="s">
        <v>96</v>
      </c>
      <c r="H10" s="25" t="s">
        <v>96</v>
      </c>
      <c r="I10" s="22">
        <v>0.36</v>
      </c>
      <c r="J10" s="25" t="s">
        <v>96</v>
      </c>
      <c r="K10" s="22">
        <v>3.62</v>
      </c>
      <c r="L10" s="25" t="s">
        <v>96</v>
      </c>
      <c r="M10" s="25" t="s">
        <v>96</v>
      </c>
      <c r="N10" s="25" t="s">
        <v>96</v>
      </c>
      <c r="O10" s="25" t="s">
        <v>96</v>
      </c>
      <c r="P10" s="25" t="s">
        <v>96</v>
      </c>
      <c r="Q10" s="25" t="s">
        <v>96</v>
      </c>
      <c r="R10" s="25" t="s">
        <v>96</v>
      </c>
      <c r="S10" s="25" t="s">
        <v>96</v>
      </c>
      <c r="T10" s="25" t="s">
        <v>96</v>
      </c>
      <c r="U10" s="25" t="s">
        <v>96</v>
      </c>
      <c r="V10" s="25" t="s">
        <v>96</v>
      </c>
      <c r="W10" s="25" t="s">
        <v>96</v>
      </c>
      <c r="X10" s="25" t="s">
        <v>96</v>
      </c>
      <c r="Y10" s="25" t="s">
        <v>96</v>
      </c>
      <c r="Z10" s="25" t="s">
        <v>96</v>
      </c>
      <c r="AA10" s="25" t="s">
        <v>96</v>
      </c>
      <c r="AB10" s="25" t="s">
        <v>96</v>
      </c>
      <c r="AC10" s="25" t="s">
        <v>96</v>
      </c>
      <c r="AD10" s="25" t="s">
        <v>96</v>
      </c>
      <c r="AE10" s="25" t="s">
        <v>96</v>
      </c>
    </row>
    <row r="11" spans="1:31">
      <c r="A11" s="20" t="s">
        <v>19</v>
      </c>
      <c r="B11" s="21">
        <v>42801.5</v>
      </c>
      <c r="C11" s="27">
        <v>-0.5</v>
      </c>
      <c r="D11" s="22">
        <v>1230</v>
      </c>
      <c r="E11" s="22">
        <v>781</v>
      </c>
      <c r="F11" s="22">
        <v>8.23</v>
      </c>
      <c r="G11" s="25" t="s">
        <v>96</v>
      </c>
      <c r="H11" s="22">
        <v>1050</v>
      </c>
      <c r="I11" s="22">
        <v>0.24</v>
      </c>
      <c r="J11" s="24">
        <f>0.5* 0.005</f>
        <v>2.5000000000000001E-3</v>
      </c>
      <c r="K11" s="22">
        <v>3.54</v>
      </c>
      <c r="L11" s="25" t="s">
        <v>96</v>
      </c>
      <c r="M11" s="22">
        <v>572</v>
      </c>
      <c r="N11" s="72">
        <f t="shared" si="0"/>
        <v>0</v>
      </c>
      <c r="O11" s="24">
        <f>0.5* 0.005</f>
        <v>2.5000000000000001E-3</v>
      </c>
      <c r="P11" s="24">
        <f>0.5* 0.005</f>
        <v>2.5000000000000001E-3</v>
      </c>
      <c r="Q11" s="24">
        <f>0.5* 0.5</f>
        <v>0.25</v>
      </c>
      <c r="R11" s="25" t="s">
        <v>96</v>
      </c>
      <c r="S11" s="25" t="s">
        <v>96</v>
      </c>
      <c r="T11" s="25" t="s">
        <v>96</v>
      </c>
      <c r="U11" s="25" t="s">
        <v>96</v>
      </c>
      <c r="V11" s="25" t="s">
        <v>96</v>
      </c>
      <c r="W11" s="25" t="s">
        <v>96</v>
      </c>
      <c r="X11" s="25" t="s">
        <v>96</v>
      </c>
      <c r="Y11" s="25" t="s">
        <v>96</v>
      </c>
      <c r="Z11" s="25" t="s">
        <v>96</v>
      </c>
      <c r="AA11" s="22">
        <v>1.41E-2</v>
      </c>
      <c r="AB11" s="22">
        <v>7.6299999999999996E-3</v>
      </c>
      <c r="AC11" s="22">
        <v>5.1999999999999995E-4</v>
      </c>
      <c r="AD11" s="24">
        <f>0.5* 0.03</f>
        <v>1.4999999999999999E-2</v>
      </c>
      <c r="AE11" s="24">
        <f>0.5* 0.001</f>
        <v>5.0000000000000001E-4</v>
      </c>
    </row>
    <row r="12" spans="1:31">
      <c r="A12" s="20" t="s">
        <v>19</v>
      </c>
      <c r="B12" s="21">
        <v>42808.5</v>
      </c>
      <c r="C12" s="25" t="s">
        <v>96</v>
      </c>
      <c r="D12" s="25" t="s">
        <v>96</v>
      </c>
      <c r="E12" s="25" t="s">
        <v>96</v>
      </c>
      <c r="F12" s="25" t="s">
        <v>96</v>
      </c>
      <c r="G12" s="25" t="s">
        <v>96</v>
      </c>
      <c r="H12" s="25" t="s">
        <v>96</v>
      </c>
      <c r="I12" s="22">
        <v>0.18</v>
      </c>
      <c r="J12" s="25" t="s">
        <v>96</v>
      </c>
      <c r="K12" s="22">
        <v>3.43</v>
      </c>
      <c r="L12" s="25" t="s">
        <v>96</v>
      </c>
      <c r="M12" s="25" t="s">
        <v>96</v>
      </c>
      <c r="N12" s="25" t="s">
        <v>96</v>
      </c>
      <c r="O12" s="25" t="s">
        <v>96</v>
      </c>
      <c r="P12" s="25" t="s">
        <v>96</v>
      </c>
      <c r="Q12" s="25" t="s">
        <v>96</v>
      </c>
      <c r="R12" s="25" t="s">
        <v>96</v>
      </c>
      <c r="S12" s="25" t="s">
        <v>96</v>
      </c>
      <c r="T12" s="25" t="s">
        <v>96</v>
      </c>
      <c r="U12" s="25" t="s">
        <v>96</v>
      </c>
      <c r="V12" s="25" t="s">
        <v>96</v>
      </c>
      <c r="W12" s="25" t="s">
        <v>96</v>
      </c>
      <c r="X12" s="25" t="s">
        <v>96</v>
      </c>
      <c r="Y12" s="25" t="s">
        <v>96</v>
      </c>
      <c r="Z12" s="25" t="s">
        <v>96</v>
      </c>
      <c r="AA12" s="25" t="s">
        <v>96</v>
      </c>
      <c r="AB12" s="25" t="s">
        <v>96</v>
      </c>
      <c r="AC12" s="25" t="s">
        <v>96</v>
      </c>
      <c r="AD12" s="25" t="s">
        <v>96</v>
      </c>
      <c r="AE12" s="25" t="s">
        <v>96</v>
      </c>
    </row>
    <row r="13" spans="1:31">
      <c r="A13" s="20" t="s">
        <v>19</v>
      </c>
      <c r="B13" s="21">
        <v>42815.5</v>
      </c>
      <c r="C13" s="25" t="s">
        <v>96</v>
      </c>
      <c r="D13" s="25" t="s">
        <v>96</v>
      </c>
      <c r="E13" s="25" t="s">
        <v>96</v>
      </c>
      <c r="F13" s="25" t="s">
        <v>96</v>
      </c>
      <c r="G13" s="25" t="s">
        <v>96</v>
      </c>
      <c r="H13" s="25" t="s">
        <v>96</v>
      </c>
      <c r="I13" s="22">
        <v>0.17</v>
      </c>
      <c r="J13" s="25" t="s">
        <v>96</v>
      </c>
      <c r="K13" s="22">
        <v>3.53</v>
      </c>
      <c r="L13" s="25" t="s">
        <v>96</v>
      </c>
      <c r="M13" s="25" t="s">
        <v>96</v>
      </c>
      <c r="N13" s="25" t="s">
        <v>96</v>
      </c>
      <c r="O13" s="25" t="s">
        <v>96</v>
      </c>
      <c r="P13" s="25" t="s">
        <v>96</v>
      </c>
      <c r="Q13" s="25" t="s">
        <v>96</v>
      </c>
      <c r="R13" s="25" t="s">
        <v>96</v>
      </c>
      <c r="S13" s="25" t="s">
        <v>96</v>
      </c>
      <c r="T13" s="25" t="s">
        <v>96</v>
      </c>
      <c r="U13" s="25" t="s">
        <v>96</v>
      </c>
      <c r="V13" s="25" t="s">
        <v>96</v>
      </c>
      <c r="W13" s="25" t="s">
        <v>96</v>
      </c>
      <c r="X13" s="25" t="s">
        <v>96</v>
      </c>
      <c r="Y13" s="25" t="s">
        <v>96</v>
      </c>
      <c r="Z13" s="25" t="s">
        <v>96</v>
      </c>
      <c r="AA13" s="25" t="s">
        <v>96</v>
      </c>
      <c r="AB13" s="25" t="s">
        <v>96</v>
      </c>
      <c r="AC13" s="25" t="s">
        <v>96</v>
      </c>
      <c r="AD13" s="25" t="s">
        <v>96</v>
      </c>
      <c r="AE13" s="25" t="s">
        <v>96</v>
      </c>
    </row>
    <row r="14" spans="1:31">
      <c r="A14" s="20" t="s">
        <v>19</v>
      </c>
      <c r="B14" s="21">
        <v>42822.5</v>
      </c>
      <c r="C14" s="25" t="s">
        <v>96</v>
      </c>
      <c r="D14" s="25" t="s">
        <v>96</v>
      </c>
      <c r="E14" s="25" t="s">
        <v>96</v>
      </c>
      <c r="F14" s="25" t="s">
        <v>96</v>
      </c>
      <c r="G14" s="25" t="s">
        <v>96</v>
      </c>
      <c r="H14" s="25" t="s">
        <v>96</v>
      </c>
      <c r="I14" s="22">
        <v>0.17</v>
      </c>
      <c r="J14" s="25" t="s">
        <v>96</v>
      </c>
      <c r="K14" s="22">
        <v>3.6</v>
      </c>
      <c r="L14" s="25" t="s">
        <v>96</v>
      </c>
      <c r="M14" s="25" t="s">
        <v>96</v>
      </c>
      <c r="N14" s="25" t="s">
        <v>96</v>
      </c>
      <c r="O14" s="25" t="s">
        <v>96</v>
      </c>
      <c r="P14" s="25" t="s">
        <v>96</v>
      </c>
      <c r="Q14" s="25" t="s">
        <v>96</v>
      </c>
      <c r="R14" s="25" t="s">
        <v>96</v>
      </c>
      <c r="S14" s="25" t="s">
        <v>96</v>
      </c>
      <c r="T14" s="25" t="s">
        <v>96</v>
      </c>
      <c r="U14" s="25" t="s">
        <v>96</v>
      </c>
      <c r="V14" s="25" t="s">
        <v>96</v>
      </c>
      <c r="W14" s="25" t="s">
        <v>96</v>
      </c>
      <c r="X14" s="25" t="s">
        <v>96</v>
      </c>
      <c r="Y14" s="25" t="s">
        <v>96</v>
      </c>
      <c r="Z14" s="25" t="s">
        <v>96</v>
      </c>
      <c r="AA14" s="25" t="s">
        <v>96</v>
      </c>
      <c r="AB14" s="25" t="s">
        <v>96</v>
      </c>
      <c r="AC14" s="25" t="s">
        <v>96</v>
      </c>
      <c r="AD14" s="25" t="s">
        <v>96</v>
      </c>
      <c r="AE14" s="25" t="s">
        <v>96</v>
      </c>
    </row>
    <row r="15" spans="1:31">
      <c r="A15" s="20" t="s">
        <v>19</v>
      </c>
      <c r="B15" s="21">
        <v>42830.5</v>
      </c>
      <c r="C15" s="22">
        <v>1.3</v>
      </c>
      <c r="D15" s="22">
        <v>1230</v>
      </c>
      <c r="E15" s="22">
        <v>772</v>
      </c>
      <c r="F15" s="22">
        <v>8.27</v>
      </c>
      <c r="G15" s="24">
        <f>0.5* 3</f>
        <v>1.5</v>
      </c>
      <c r="H15" s="22">
        <v>1060</v>
      </c>
      <c r="I15" s="22">
        <v>0.14000000000000001</v>
      </c>
      <c r="J15" s="24">
        <f>0.5* 0.005</f>
        <v>2.5000000000000001E-3</v>
      </c>
      <c r="K15" s="22">
        <v>3.8</v>
      </c>
      <c r="L15" s="24">
        <f>0.5* 0.005</f>
        <v>2.5000000000000001E-3</v>
      </c>
      <c r="M15" s="22">
        <v>615</v>
      </c>
      <c r="N15" s="72">
        <f t="shared" si="0"/>
        <v>0</v>
      </c>
      <c r="O15" s="24">
        <f>0.5* 0.005</f>
        <v>2.5000000000000001E-3</v>
      </c>
      <c r="P15" s="24">
        <f>0.5* 0.005</f>
        <v>2.5000000000000001E-3</v>
      </c>
      <c r="Q15" s="24">
        <f>0.5* 0.5</f>
        <v>0.25</v>
      </c>
      <c r="R15" s="22">
        <v>1.44E-2</v>
      </c>
      <c r="S15" s="22">
        <v>1E-4</v>
      </c>
      <c r="T15" s="22">
        <v>7.6E-3</v>
      </c>
      <c r="U15" s="24">
        <f>0.5* 0.00005</f>
        <v>2.5000000000000001E-5</v>
      </c>
      <c r="V15" s="24">
        <f>0.5* 0.000005</f>
        <v>2.5000000000000002E-6</v>
      </c>
      <c r="W15" s="22">
        <v>5.4400000000000004E-3</v>
      </c>
      <c r="X15" s="22">
        <v>1.5900000000000001E-2</v>
      </c>
      <c r="Y15" s="24">
        <f>0.5* 0.00001</f>
        <v>5.0000000000000004E-6</v>
      </c>
      <c r="Z15" s="24">
        <f>0.5* 0.003</f>
        <v>1.5E-3</v>
      </c>
      <c r="AA15" s="22">
        <v>1.55E-2</v>
      </c>
      <c r="AB15" s="22">
        <v>7.0600000000000003E-3</v>
      </c>
      <c r="AC15" s="22">
        <v>5.1000000000000004E-4</v>
      </c>
      <c r="AD15" s="24">
        <f>0.5* 0.01</f>
        <v>5.0000000000000001E-3</v>
      </c>
      <c r="AE15" s="24">
        <f>0.5* 0.001</f>
        <v>5.0000000000000001E-4</v>
      </c>
    </row>
    <row r="16" spans="1:31">
      <c r="A16" s="20" t="s">
        <v>19</v>
      </c>
      <c r="B16" s="21">
        <v>42837.5</v>
      </c>
      <c r="C16" s="25" t="s">
        <v>96</v>
      </c>
      <c r="D16" s="25" t="s">
        <v>96</v>
      </c>
      <c r="E16" s="25" t="s">
        <v>96</v>
      </c>
      <c r="F16" s="22">
        <v>8.23</v>
      </c>
      <c r="G16" s="25" t="s">
        <v>96</v>
      </c>
      <c r="H16" s="25" t="s">
        <v>96</v>
      </c>
      <c r="I16" s="22">
        <v>0.14000000000000001</v>
      </c>
      <c r="J16" s="25" t="s">
        <v>96</v>
      </c>
      <c r="K16" s="22">
        <v>3.5</v>
      </c>
      <c r="L16" s="25" t="s">
        <v>96</v>
      </c>
      <c r="M16" s="25" t="s">
        <v>96</v>
      </c>
      <c r="N16" s="25" t="s">
        <v>96</v>
      </c>
      <c r="O16" s="25" t="s">
        <v>96</v>
      </c>
      <c r="P16" s="25" t="s">
        <v>96</v>
      </c>
      <c r="Q16" s="25" t="s">
        <v>96</v>
      </c>
      <c r="R16" s="25" t="s">
        <v>96</v>
      </c>
      <c r="S16" s="25" t="s">
        <v>96</v>
      </c>
      <c r="T16" s="25" t="s">
        <v>96</v>
      </c>
      <c r="U16" s="25" t="s">
        <v>96</v>
      </c>
      <c r="V16" s="25" t="s">
        <v>96</v>
      </c>
      <c r="W16" s="25" t="s">
        <v>96</v>
      </c>
      <c r="X16" s="25" t="s">
        <v>96</v>
      </c>
      <c r="Y16" s="25" t="s">
        <v>96</v>
      </c>
      <c r="Z16" s="25" t="s">
        <v>96</v>
      </c>
      <c r="AA16" s="25" t="s">
        <v>96</v>
      </c>
      <c r="AB16" s="25" t="s">
        <v>96</v>
      </c>
      <c r="AC16" s="25" t="s">
        <v>96</v>
      </c>
      <c r="AD16" s="25" t="s">
        <v>96</v>
      </c>
      <c r="AE16" s="25" t="s">
        <v>96</v>
      </c>
    </row>
    <row r="17" spans="1:31">
      <c r="A17" s="20" t="s">
        <v>19</v>
      </c>
      <c r="B17" s="21">
        <v>42844.5</v>
      </c>
      <c r="C17" s="25" t="s">
        <v>96</v>
      </c>
      <c r="D17" s="25" t="s">
        <v>96</v>
      </c>
      <c r="E17" s="25" t="s">
        <v>96</v>
      </c>
      <c r="F17" s="22">
        <v>8.25</v>
      </c>
      <c r="G17" s="25" t="s">
        <v>96</v>
      </c>
      <c r="H17" s="25" t="s">
        <v>96</v>
      </c>
      <c r="I17" s="22">
        <v>0.14000000000000001</v>
      </c>
      <c r="J17" s="25" t="s">
        <v>96</v>
      </c>
      <c r="K17" s="22">
        <v>3.44</v>
      </c>
      <c r="L17" s="25" t="s">
        <v>96</v>
      </c>
      <c r="M17" s="25" t="s">
        <v>96</v>
      </c>
      <c r="N17" s="25" t="s">
        <v>96</v>
      </c>
      <c r="O17" s="25" t="s">
        <v>96</v>
      </c>
      <c r="P17" s="25" t="s">
        <v>96</v>
      </c>
      <c r="Q17" s="25" t="s">
        <v>96</v>
      </c>
      <c r="R17" s="25" t="s">
        <v>96</v>
      </c>
      <c r="S17" s="25" t="s">
        <v>96</v>
      </c>
      <c r="T17" s="25" t="s">
        <v>96</v>
      </c>
      <c r="U17" s="25" t="s">
        <v>96</v>
      </c>
      <c r="V17" s="25" t="s">
        <v>96</v>
      </c>
      <c r="W17" s="25" t="s">
        <v>96</v>
      </c>
      <c r="X17" s="25" t="s">
        <v>96</v>
      </c>
      <c r="Y17" s="25" t="s">
        <v>96</v>
      </c>
      <c r="Z17" s="25" t="s">
        <v>96</v>
      </c>
      <c r="AA17" s="25" t="s">
        <v>96</v>
      </c>
      <c r="AB17" s="25" t="s">
        <v>96</v>
      </c>
      <c r="AC17" s="25" t="s">
        <v>96</v>
      </c>
      <c r="AD17" s="25" t="s">
        <v>96</v>
      </c>
      <c r="AE17" s="25" t="s">
        <v>96</v>
      </c>
    </row>
    <row r="18" spans="1:31">
      <c r="A18" s="20" t="s">
        <v>19</v>
      </c>
      <c r="B18" s="21">
        <v>42851.5</v>
      </c>
      <c r="C18" s="25" t="s">
        <v>96</v>
      </c>
      <c r="D18" s="25" t="s">
        <v>96</v>
      </c>
      <c r="E18" s="25" t="s">
        <v>96</v>
      </c>
      <c r="F18" s="22">
        <v>8.33</v>
      </c>
      <c r="G18" s="25" t="s">
        <v>96</v>
      </c>
      <c r="H18" s="25" t="s">
        <v>96</v>
      </c>
      <c r="I18" s="22">
        <v>0.16</v>
      </c>
      <c r="J18" s="25" t="s">
        <v>96</v>
      </c>
      <c r="K18" s="22">
        <v>3.49</v>
      </c>
      <c r="L18" s="25" t="s">
        <v>96</v>
      </c>
      <c r="M18" s="25" t="s">
        <v>96</v>
      </c>
      <c r="N18" s="25" t="s">
        <v>96</v>
      </c>
      <c r="O18" s="25" t="s">
        <v>96</v>
      </c>
      <c r="P18" s="25" t="s">
        <v>96</v>
      </c>
      <c r="Q18" s="25" t="s">
        <v>96</v>
      </c>
      <c r="R18" s="25" t="s">
        <v>96</v>
      </c>
      <c r="S18" s="25" t="s">
        <v>96</v>
      </c>
      <c r="T18" s="25" t="s">
        <v>96</v>
      </c>
      <c r="U18" s="25" t="s">
        <v>96</v>
      </c>
      <c r="V18" s="25" t="s">
        <v>96</v>
      </c>
      <c r="W18" s="25" t="s">
        <v>96</v>
      </c>
      <c r="X18" s="25" t="s">
        <v>96</v>
      </c>
      <c r="Y18" s="25" t="s">
        <v>96</v>
      </c>
      <c r="Z18" s="25" t="s">
        <v>96</v>
      </c>
      <c r="AA18" s="25" t="s">
        <v>96</v>
      </c>
      <c r="AB18" s="25" t="s">
        <v>96</v>
      </c>
      <c r="AC18" s="25" t="s">
        <v>96</v>
      </c>
      <c r="AD18" s="25" t="s">
        <v>96</v>
      </c>
      <c r="AE18" s="25" t="s">
        <v>96</v>
      </c>
    </row>
    <row r="19" spans="1:31">
      <c r="A19" s="20" t="s">
        <v>19</v>
      </c>
      <c r="B19" s="21">
        <v>42858</v>
      </c>
      <c r="C19" s="22">
        <v>2.4</v>
      </c>
      <c r="D19" s="22">
        <v>1280</v>
      </c>
      <c r="E19" s="22">
        <v>717</v>
      </c>
      <c r="F19" s="22">
        <v>8.23</v>
      </c>
      <c r="G19" s="25" t="s">
        <v>96</v>
      </c>
      <c r="H19" s="22">
        <v>989</v>
      </c>
      <c r="I19" s="22">
        <v>0.2</v>
      </c>
      <c r="J19" s="24">
        <f>0.5* 0.005</f>
        <v>2.5000000000000001E-3</v>
      </c>
      <c r="K19" s="22">
        <v>3.44</v>
      </c>
      <c r="L19" s="25" t="s">
        <v>96</v>
      </c>
      <c r="M19" s="22">
        <v>557</v>
      </c>
      <c r="N19" s="72">
        <f t="shared" si="0"/>
        <v>0</v>
      </c>
      <c r="O19" s="24">
        <f>0.5* 0.005</f>
        <v>2.5000000000000001E-3</v>
      </c>
      <c r="P19" s="24">
        <f>0.5* 0.005</f>
        <v>2.5000000000000001E-3</v>
      </c>
      <c r="Q19" s="24">
        <f>0.5* 0.5</f>
        <v>0.25</v>
      </c>
      <c r="R19" s="25" t="s">
        <v>96</v>
      </c>
      <c r="S19" s="25" t="s">
        <v>96</v>
      </c>
      <c r="T19" s="25" t="s">
        <v>96</v>
      </c>
      <c r="U19" s="25" t="s">
        <v>96</v>
      </c>
      <c r="V19" s="25" t="s">
        <v>96</v>
      </c>
      <c r="W19" s="25" t="s">
        <v>96</v>
      </c>
      <c r="X19" s="25" t="s">
        <v>96</v>
      </c>
      <c r="Y19" s="25" t="s">
        <v>96</v>
      </c>
      <c r="Z19" s="25" t="s">
        <v>96</v>
      </c>
      <c r="AA19" s="22">
        <v>1.4200000000000001E-2</v>
      </c>
      <c r="AB19" s="22">
        <v>5.0000000000000001E-3</v>
      </c>
      <c r="AC19" s="22">
        <v>6.0999999999999997E-4</v>
      </c>
      <c r="AD19" s="24">
        <f>0.5* 0.01</f>
        <v>5.0000000000000001E-3</v>
      </c>
      <c r="AE19" s="24">
        <f>0.5* 0.001</f>
        <v>5.0000000000000001E-4</v>
      </c>
    </row>
    <row r="20" spans="1:31">
      <c r="A20" s="20" t="s">
        <v>19</v>
      </c>
      <c r="B20" s="21">
        <v>42865</v>
      </c>
      <c r="C20" s="22">
        <v>4.9000000000000004</v>
      </c>
      <c r="D20" s="25" t="s">
        <v>96</v>
      </c>
      <c r="E20" s="25" t="s">
        <v>96</v>
      </c>
      <c r="F20" s="22">
        <v>8.2100000000000009</v>
      </c>
      <c r="G20" s="25" t="s">
        <v>96</v>
      </c>
      <c r="H20" s="25" t="s">
        <v>96</v>
      </c>
      <c r="I20" s="22">
        <v>0.44</v>
      </c>
      <c r="J20" s="25" t="s">
        <v>96</v>
      </c>
      <c r="K20" s="22">
        <v>2.61</v>
      </c>
      <c r="L20" s="25" t="s">
        <v>96</v>
      </c>
      <c r="M20" s="25" t="s">
        <v>96</v>
      </c>
      <c r="N20" s="25" t="s">
        <v>96</v>
      </c>
      <c r="O20" s="25" t="s">
        <v>96</v>
      </c>
      <c r="P20" s="25" t="s">
        <v>96</v>
      </c>
      <c r="Q20" s="25" t="s">
        <v>96</v>
      </c>
      <c r="R20" s="25" t="s">
        <v>96</v>
      </c>
      <c r="S20" s="25" t="s">
        <v>96</v>
      </c>
      <c r="T20" s="25" t="s">
        <v>96</v>
      </c>
      <c r="U20" s="25" t="s">
        <v>96</v>
      </c>
      <c r="V20" s="25" t="s">
        <v>96</v>
      </c>
      <c r="W20" s="25" t="s">
        <v>96</v>
      </c>
      <c r="X20" s="25" t="s">
        <v>96</v>
      </c>
      <c r="Y20" s="25" t="s">
        <v>96</v>
      </c>
      <c r="Z20" s="25" t="s">
        <v>96</v>
      </c>
      <c r="AA20" s="25" t="s">
        <v>96</v>
      </c>
      <c r="AB20" s="25" t="s">
        <v>96</v>
      </c>
      <c r="AC20" s="25" t="s">
        <v>96</v>
      </c>
      <c r="AD20" s="25" t="s">
        <v>96</v>
      </c>
      <c r="AE20" s="25" t="s">
        <v>96</v>
      </c>
    </row>
    <row r="21" spans="1:31">
      <c r="A21" s="20" t="s">
        <v>19</v>
      </c>
      <c r="B21" s="21">
        <v>42872.5</v>
      </c>
      <c r="C21" s="25" t="s">
        <v>96</v>
      </c>
      <c r="D21" s="25" t="s">
        <v>96</v>
      </c>
      <c r="E21" s="25" t="s">
        <v>96</v>
      </c>
      <c r="F21" s="22">
        <v>8.24</v>
      </c>
      <c r="G21" s="25" t="s">
        <v>96</v>
      </c>
      <c r="H21" s="25" t="s">
        <v>96</v>
      </c>
      <c r="I21" s="22">
        <v>0.34</v>
      </c>
      <c r="J21" s="25" t="s">
        <v>96</v>
      </c>
      <c r="K21" s="22">
        <v>4.84</v>
      </c>
      <c r="L21" s="25" t="s">
        <v>96</v>
      </c>
      <c r="M21" s="25" t="s">
        <v>96</v>
      </c>
      <c r="N21" s="25" t="s">
        <v>96</v>
      </c>
      <c r="O21" s="25" t="s">
        <v>96</v>
      </c>
      <c r="P21" s="25" t="s">
        <v>96</v>
      </c>
      <c r="Q21" s="25" t="s">
        <v>96</v>
      </c>
      <c r="R21" s="25" t="s">
        <v>96</v>
      </c>
      <c r="S21" s="25" t="s">
        <v>96</v>
      </c>
      <c r="T21" s="25" t="s">
        <v>96</v>
      </c>
      <c r="U21" s="25" t="s">
        <v>96</v>
      </c>
      <c r="V21" s="25" t="s">
        <v>96</v>
      </c>
      <c r="W21" s="25" t="s">
        <v>96</v>
      </c>
      <c r="X21" s="25" t="s">
        <v>96</v>
      </c>
      <c r="Y21" s="25" t="s">
        <v>96</v>
      </c>
      <c r="Z21" s="25" t="s">
        <v>96</v>
      </c>
      <c r="AA21" s="25" t="s">
        <v>96</v>
      </c>
      <c r="AB21" s="25" t="s">
        <v>96</v>
      </c>
      <c r="AC21" s="25" t="s">
        <v>96</v>
      </c>
      <c r="AD21" s="25" t="s">
        <v>96</v>
      </c>
      <c r="AE21" s="25" t="s">
        <v>96</v>
      </c>
    </row>
    <row r="22" spans="1:31">
      <c r="A22" s="20" t="s">
        <v>19</v>
      </c>
      <c r="B22" s="21">
        <v>42879</v>
      </c>
      <c r="C22" s="22">
        <v>4.5</v>
      </c>
      <c r="D22" s="25" t="s">
        <v>96</v>
      </c>
      <c r="E22" s="25" t="s">
        <v>96</v>
      </c>
      <c r="F22" s="22">
        <v>8.1999999999999993</v>
      </c>
      <c r="G22" s="25" t="s">
        <v>96</v>
      </c>
      <c r="H22" s="25" t="s">
        <v>96</v>
      </c>
      <c r="I22" s="22">
        <v>0.67</v>
      </c>
      <c r="J22" s="25" t="s">
        <v>96</v>
      </c>
      <c r="K22" s="22">
        <v>4.25</v>
      </c>
      <c r="L22" s="25" t="s">
        <v>96</v>
      </c>
      <c r="M22" s="25" t="s">
        <v>96</v>
      </c>
      <c r="N22" s="25" t="s">
        <v>96</v>
      </c>
      <c r="O22" s="25" t="s">
        <v>96</v>
      </c>
      <c r="P22" s="25" t="s">
        <v>96</v>
      </c>
      <c r="Q22" s="25" t="s">
        <v>96</v>
      </c>
      <c r="R22" s="25" t="s">
        <v>96</v>
      </c>
      <c r="S22" s="25" t="s">
        <v>96</v>
      </c>
      <c r="T22" s="25" t="s">
        <v>96</v>
      </c>
      <c r="U22" s="25" t="s">
        <v>96</v>
      </c>
      <c r="V22" s="25" t="s">
        <v>96</v>
      </c>
      <c r="W22" s="25" t="s">
        <v>96</v>
      </c>
      <c r="X22" s="25" t="s">
        <v>96</v>
      </c>
      <c r="Y22" s="25" t="s">
        <v>96</v>
      </c>
      <c r="Z22" s="25" t="s">
        <v>96</v>
      </c>
      <c r="AA22" s="25" t="s">
        <v>96</v>
      </c>
      <c r="AB22" s="25" t="s">
        <v>96</v>
      </c>
      <c r="AC22" s="25" t="s">
        <v>96</v>
      </c>
      <c r="AD22" s="25" t="s">
        <v>96</v>
      </c>
      <c r="AE22" s="25" t="s">
        <v>96</v>
      </c>
    </row>
    <row r="23" spans="1:31">
      <c r="A23" s="20" t="s">
        <v>19</v>
      </c>
      <c r="B23" s="21">
        <v>42886.5</v>
      </c>
      <c r="C23" s="25" t="s">
        <v>96</v>
      </c>
      <c r="D23" s="25" t="s">
        <v>96</v>
      </c>
      <c r="E23" s="25" t="s">
        <v>96</v>
      </c>
      <c r="F23" s="22">
        <v>8.2200000000000006</v>
      </c>
      <c r="G23" s="25" t="s">
        <v>96</v>
      </c>
      <c r="H23" s="25" t="s">
        <v>96</v>
      </c>
      <c r="I23" s="22">
        <v>0.36</v>
      </c>
      <c r="J23" s="25" t="s">
        <v>96</v>
      </c>
      <c r="K23" s="22">
        <v>3.82</v>
      </c>
      <c r="L23" s="25" t="s">
        <v>96</v>
      </c>
      <c r="M23" s="25" t="s">
        <v>96</v>
      </c>
      <c r="N23" s="25" t="s">
        <v>96</v>
      </c>
      <c r="O23" s="25" t="s">
        <v>96</v>
      </c>
      <c r="P23" s="25" t="s">
        <v>96</v>
      </c>
      <c r="Q23" s="25" t="s">
        <v>96</v>
      </c>
      <c r="R23" s="25" t="s">
        <v>96</v>
      </c>
      <c r="S23" s="25" t="s">
        <v>96</v>
      </c>
      <c r="T23" s="25" t="s">
        <v>96</v>
      </c>
      <c r="U23" s="25" t="s">
        <v>96</v>
      </c>
      <c r="V23" s="25" t="s">
        <v>96</v>
      </c>
      <c r="W23" s="25" t="s">
        <v>96</v>
      </c>
      <c r="X23" s="25" t="s">
        <v>96</v>
      </c>
      <c r="Y23" s="25" t="s">
        <v>96</v>
      </c>
      <c r="Z23" s="25" t="s">
        <v>96</v>
      </c>
      <c r="AA23" s="25" t="s">
        <v>96</v>
      </c>
      <c r="AB23" s="25" t="s">
        <v>96</v>
      </c>
      <c r="AC23" s="25" t="s">
        <v>96</v>
      </c>
      <c r="AD23" s="25" t="s">
        <v>96</v>
      </c>
      <c r="AE23" s="25" t="s">
        <v>96</v>
      </c>
    </row>
    <row r="24" spans="1:31">
      <c r="A24" s="20" t="s">
        <v>19</v>
      </c>
      <c r="B24" s="21">
        <v>42893.5</v>
      </c>
      <c r="C24" s="22">
        <v>4.9000000000000004</v>
      </c>
      <c r="D24" s="22">
        <v>1180</v>
      </c>
      <c r="E24" s="25" t="s">
        <v>96</v>
      </c>
      <c r="F24" s="22">
        <v>8.2200000000000006</v>
      </c>
      <c r="G24" s="25" t="s">
        <v>96</v>
      </c>
      <c r="H24" s="22">
        <v>896</v>
      </c>
      <c r="I24" s="22">
        <v>0.35</v>
      </c>
      <c r="J24" s="24">
        <f>0.5* 0.005</f>
        <v>2.5000000000000001E-3</v>
      </c>
      <c r="K24" s="22">
        <v>3.4</v>
      </c>
      <c r="L24" s="25" t="s">
        <v>96</v>
      </c>
      <c r="M24" s="22">
        <v>534</v>
      </c>
      <c r="N24" s="72">
        <f t="shared" si="0"/>
        <v>0</v>
      </c>
      <c r="O24" s="24">
        <f>0.5* 0.005</f>
        <v>2.5000000000000001E-3</v>
      </c>
      <c r="P24" s="24">
        <f>0.5* 0.005</f>
        <v>2.5000000000000001E-3</v>
      </c>
      <c r="Q24" s="24">
        <f>0.5* 0.5</f>
        <v>0.25</v>
      </c>
      <c r="R24" s="25" t="s">
        <v>96</v>
      </c>
      <c r="S24" s="25" t="s">
        <v>96</v>
      </c>
      <c r="T24" s="25" t="s">
        <v>96</v>
      </c>
      <c r="U24" s="25" t="s">
        <v>96</v>
      </c>
      <c r="V24" s="25" t="s">
        <v>96</v>
      </c>
      <c r="W24" s="25" t="s">
        <v>96</v>
      </c>
      <c r="X24" s="25" t="s">
        <v>96</v>
      </c>
      <c r="Y24" s="25" t="s">
        <v>96</v>
      </c>
      <c r="Z24" s="25" t="s">
        <v>96</v>
      </c>
      <c r="AA24" s="22">
        <v>1.24E-2</v>
      </c>
      <c r="AB24" s="22">
        <v>1.2999999999999999E-3</v>
      </c>
      <c r="AC24" s="22">
        <v>7.2999999999999996E-4</v>
      </c>
      <c r="AD24" s="24">
        <f>0.5* 0.01</f>
        <v>5.0000000000000001E-3</v>
      </c>
      <c r="AE24" s="24">
        <f>0.5* 0.001</f>
        <v>5.0000000000000001E-4</v>
      </c>
    </row>
    <row r="25" spans="1:31">
      <c r="A25" s="20" t="s">
        <v>19</v>
      </c>
      <c r="B25" s="21">
        <v>42900.5</v>
      </c>
      <c r="C25" s="25" t="s">
        <v>96</v>
      </c>
      <c r="D25" s="25" t="s">
        <v>96</v>
      </c>
      <c r="E25" s="25" t="s">
        <v>96</v>
      </c>
      <c r="F25" s="22">
        <v>8.33</v>
      </c>
      <c r="G25" s="25" t="s">
        <v>96</v>
      </c>
      <c r="H25" s="25" t="s">
        <v>96</v>
      </c>
      <c r="I25" s="22">
        <v>0.18</v>
      </c>
      <c r="J25" s="25" t="s">
        <v>96</v>
      </c>
      <c r="K25" s="22">
        <v>3.26</v>
      </c>
      <c r="L25" s="25" t="s">
        <v>96</v>
      </c>
      <c r="M25" s="25" t="s">
        <v>96</v>
      </c>
      <c r="N25" s="25" t="s">
        <v>96</v>
      </c>
      <c r="O25" s="25" t="s">
        <v>96</v>
      </c>
      <c r="P25" s="25" t="s">
        <v>96</v>
      </c>
      <c r="Q25" s="25" t="s">
        <v>96</v>
      </c>
      <c r="R25" s="25" t="s">
        <v>96</v>
      </c>
      <c r="S25" s="25" t="s">
        <v>96</v>
      </c>
      <c r="T25" s="25" t="s">
        <v>96</v>
      </c>
      <c r="U25" s="25" t="s">
        <v>96</v>
      </c>
      <c r="V25" s="25" t="s">
        <v>96</v>
      </c>
      <c r="W25" s="25" t="s">
        <v>96</v>
      </c>
      <c r="X25" s="25" t="s">
        <v>96</v>
      </c>
      <c r="Y25" s="25" t="s">
        <v>96</v>
      </c>
      <c r="Z25" s="25" t="s">
        <v>96</v>
      </c>
      <c r="AA25" s="25" t="s">
        <v>96</v>
      </c>
      <c r="AB25" s="25" t="s">
        <v>96</v>
      </c>
      <c r="AC25" s="25" t="s">
        <v>96</v>
      </c>
      <c r="AD25" s="25" t="s">
        <v>96</v>
      </c>
      <c r="AE25" s="25" t="s">
        <v>96</v>
      </c>
    </row>
    <row r="26" spans="1:31">
      <c r="A26" s="20" t="s">
        <v>19</v>
      </c>
      <c r="B26" s="21">
        <v>42907.5</v>
      </c>
      <c r="C26" s="25" t="s">
        <v>96</v>
      </c>
      <c r="D26" s="25" t="s">
        <v>96</v>
      </c>
      <c r="E26" s="25" t="s">
        <v>96</v>
      </c>
      <c r="F26" s="22">
        <v>8.26</v>
      </c>
      <c r="G26" s="25" t="s">
        <v>96</v>
      </c>
      <c r="H26" s="25" t="s">
        <v>96</v>
      </c>
      <c r="I26" s="22">
        <v>0.22</v>
      </c>
      <c r="J26" s="25" t="s">
        <v>96</v>
      </c>
      <c r="K26" s="22">
        <v>3.06</v>
      </c>
      <c r="L26" s="25" t="s">
        <v>96</v>
      </c>
      <c r="M26" s="25" t="s">
        <v>96</v>
      </c>
      <c r="N26" s="25" t="s">
        <v>96</v>
      </c>
      <c r="O26" s="25" t="s">
        <v>96</v>
      </c>
      <c r="P26" s="25" t="s">
        <v>96</v>
      </c>
      <c r="Q26" s="25" t="s">
        <v>96</v>
      </c>
      <c r="R26" s="25" t="s">
        <v>96</v>
      </c>
      <c r="S26" s="25" t="s">
        <v>96</v>
      </c>
      <c r="T26" s="25" t="s">
        <v>96</v>
      </c>
      <c r="U26" s="25" t="s">
        <v>96</v>
      </c>
      <c r="V26" s="25" t="s">
        <v>96</v>
      </c>
      <c r="W26" s="25" t="s">
        <v>96</v>
      </c>
      <c r="X26" s="25" t="s">
        <v>96</v>
      </c>
      <c r="Y26" s="25" t="s">
        <v>96</v>
      </c>
      <c r="Z26" s="25" t="s">
        <v>96</v>
      </c>
      <c r="AA26" s="25" t="s">
        <v>96</v>
      </c>
      <c r="AB26" s="25" t="s">
        <v>96</v>
      </c>
      <c r="AC26" s="25" t="s">
        <v>96</v>
      </c>
      <c r="AD26" s="25" t="s">
        <v>96</v>
      </c>
      <c r="AE26" s="25" t="s">
        <v>96</v>
      </c>
    </row>
    <row r="27" spans="1:31">
      <c r="A27" s="20" t="s">
        <v>19</v>
      </c>
      <c r="B27" s="21">
        <v>42914.5</v>
      </c>
      <c r="C27" s="25" t="s">
        <v>96</v>
      </c>
      <c r="D27" s="25" t="s">
        <v>96</v>
      </c>
      <c r="E27" s="25" t="s">
        <v>96</v>
      </c>
      <c r="F27" s="22">
        <v>8.1999999999999993</v>
      </c>
      <c r="G27" s="25" t="s">
        <v>96</v>
      </c>
      <c r="H27" s="25" t="s">
        <v>96</v>
      </c>
      <c r="I27" s="22">
        <v>0.2</v>
      </c>
      <c r="J27" s="25" t="s">
        <v>96</v>
      </c>
      <c r="K27" s="22">
        <v>3.17</v>
      </c>
      <c r="L27" s="25" t="s">
        <v>96</v>
      </c>
      <c r="M27" s="25" t="s">
        <v>96</v>
      </c>
      <c r="N27" s="25" t="s">
        <v>96</v>
      </c>
      <c r="O27" s="25" t="s">
        <v>96</v>
      </c>
      <c r="P27" s="25" t="s">
        <v>96</v>
      </c>
      <c r="Q27" s="25" t="s">
        <v>96</v>
      </c>
      <c r="R27" s="25" t="s">
        <v>96</v>
      </c>
      <c r="S27" s="25" t="s">
        <v>96</v>
      </c>
      <c r="T27" s="25" t="s">
        <v>96</v>
      </c>
      <c r="U27" s="25" t="s">
        <v>96</v>
      </c>
      <c r="V27" s="25" t="s">
        <v>96</v>
      </c>
      <c r="W27" s="25" t="s">
        <v>96</v>
      </c>
      <c r="X27" s="25" t="s">
        <v>96</v>
      </c>
      <c r="Y27" s="25" t="s">
        <v>96</v>
      </c>
      <c r="Z27" s="25" t="s">
        <v>96</v>
      </c>
      <c r="AA27" s="25" t="s">
        <v>96</v>
      </c>
      <c r="AB27" s="25" t="s">
        <v>96</v>
      </c>
      <c r="AC27" s="25" t="s">
        <v>96</v>
      </c>
      <c r="AD27" s="25" t="s">
        <v>96</v>
      </c>
      <c r="AE27" s="25" t="s">
        <v>96</v>
      </c>
    </row>
    <row r="28" spans="1:31">
      <c r="A28" s="20" t="s">
        <v>19</v>
      </c>
      <c r="B28" s="21">
        <v>42921.5</v>
      </c>
      <c r="C28" s="22">
        <v>5.0999999999999996</v>
      </c>
      <c r="D28" s="22">
        <v>1210</v>
      </c>
      <c r="E28" s="22">
        <v>666</v>
      </c>
      <c r="F28" s="22">
        <v>8.2100000000000009</v>
      </c>
      <c r="G28" s="24">
        <f>0.5* 3</f>
        <v>1.5</v>
      </c>
      <c r="H28" s="22">
        <v>976</v>
      </c>
      <c r="I28" s="22">
        <v>0.13</v>
      </c>
      <c r="J28" s="24">
        <f>0.5* 0.005</f>
        <v>2.5000000000000001E-3</v>
      </c>
      <c r="K28" s="22">
        <v>3.11</v>
      </c>
      <c r="L28" s="24">
        <f>0.5* 0.005</f>
        <v>2.5000000000000001E-3</v>
      </c>
      <c r="M28" s="22">
        <v>529</v>
      </c>
      <c r="N28" s="72">
        <f t="shared" si="0"/>
        <v>0</v>
      </c>
      <c r="O28" s="24">
        <f>0.5* 0.005</f>
        <v>2.5000000000000001E-3</v>
      </c>
      <c r="P28" s="24">
        <f>0.5* 0.005</f>
        <v>2.5000000000000001E-3</v>
      </c>
      <c r="Q28" s="24">
        <f>0.5* 0.5</f>
        <v>0.25</v>
      </c>
      <c r="R28" s="22">
        <v>1.2999999999999999E-2</v>
      </c>
      <c r="S28" s="22">
        <v>1.16E-4</v>
      </c>
      <c r="T28" s="22">
        <v>3.0899999999999999E-3</v>
      </c>
      <c r="U28" s="24">
        <f>0.5* 0.00005</f>
        <v>2.5000000000000001E-5</v>
      </c>
      <c r="V28" s="24">
        <f>0.5* 0.000005</f>
        <v>2.5000000000000002E-6</v>
      </c>
      <c r="W28" s="22">
        <v>1.26E-2</v>
      </c>
      <c r="X28" s="22">
        <v>1.6799999999999999E-2</v>
      </c>
      <c r="Y28" s="24">
        <f>0.5* 0.00001</f>
        <v>5.0000000000000004E-6</v>
      </c>
      <c r="Z28" s="24">
        <f>0.5* 0.003</f>
        <v>1.5E-3</v>
      </c>
      <c r="AA28" s="22">
        <v>1.23E-2</v>
      </c>
      <c r="AB28" s="22">
        <v>2.8500000000000001E-3</v>
      </c>
      <c r="AC28" s="22">
        <v>6.8999999999999997E-4</v>
      </c>
      <c r="AD28" s="24">
        <f>0.5* 0.01</f>
        <v>5.0000000000000001E-3</v>
      </c>
      <c r="AE28" s="24">
        <f>0.5* 0.001</f>
        <v>5.0000000000000001E-4</v>
      </c>
    </row>
    <row r="29" spans="1:31">
      <c r="A29" s="20" t="s">
        <v>19</v>
      </c>
      <c r="B29" s="21">
        <v>42928.5</v>
      </c>
      <c r="C29" s="25" t="s">
        <v>96</v>
      </c>
      <c r="D29" s="25" t="s">
        <v>96</v>
      </c>
      <c r="E29" s="25" t="s">
        <v>96</v>
      </c>
      <c r="F29" s="22">
        <v>8.32</v>
      </c>
      <c r="G29" s="25" t="s">
        <v>96</v>
      </c>
      <c r="H29" s="25" t="s">
        <v>96</v>
      </c>
      <c r="I29" s="22">
        <v>0.28999999999999998</v>
      </c>
      <c r="J29" s="25" t="s">
        <v>96</v>
      </c>
      <c r="K29" s="22">
        <v>3.06</v>
      </c>
      <c r="L29" s="25" t="s">
        <v>96</v>
      </c>
      <c r="M29" s="25" t="s">
        <v>96</v>
      </c>
      <c r="N29" s="25" t="s">
        <v>96</v>
      </c>
      <c r="O29" s="25" t="s">
        <v>96</v>
      </c>
      <c r="P29" s="25" t="s">
        <v>96</v>
      </c>
      <c r="Q29" s="25" t="s">
        <v>96</v>
      </c>
      <c r="R29" s="25" t="s">
        <v>96</v>
      </c>
      <c r="S29" s="25" t="s">
        <v>96</v>
      </c>
      <c r="T29" s="25" t="s">
        <v>96</v>
      </c>
      <c r="U29" s="25" t="s">
        <v>96</v>
      </c>
      <c r="V29" s="25" t="s">
        <v>96</v>
      </c>
      <c r="W29" s="25" t="s">
        <v>96</v>
      </c>
      <c r="X29" s="25" t="s">
        <v>96</v>
      </c>
      <c r="Y29" s="25" t="s">
        <v>96</v>
      </c>
      <c r="Z29" s="25" t="s">
        <v>96</v>
      </c>
      <c r="AA29" s="25" t="s">
        <v>96</v>
      </c>
      <c r="AB29" s="25" t="s">
        <v>96</v>
      </c>
      <c r="AC29" s="25" t="s">
        <v>96</v>
      </c>
      <c r="AD29" s="25" t="s">
        <v>96</v>
      </c>
      <c r="AE29" s="25" t="s">
        <v>96</v>
      </c>
    </row>
    <row r="30" spans="1:31">
      <c r="A30" s="20" t="s">
        <v>19</v>
      </c>
      <c r="B30" s="21">
        <v>42935.5</v>
      </c>
      <c r="C30" s="25" t="s">
        <v>96</v>
      </c>
      <c r="D30" s="25" t="s">
        <v>96</v>
      </c>
      <c r="E30" s="25" t="s">
        <v>96</v>
      </c>
      <c r="F30" s="22">
        <v>8.26</v>
      </c>
      <c r="G30" s="25" t="s">
        <v>96</v>
      </c>
      <c r="H30" s="25" t="s">
        <v>96</v>
      </c>
      <c r="I30" s="22">
        <v>2.8</v>
      </c>
      <c r="J30" s="25" t="s">
        <v>96</v>
      </c>
      <c r="K30" s="22">
        <v>3.08</v>
      </c>
      <c r="L30" s="25" t="s">
        <v>96</v>
      </c>
      <c r="M30" s="25" t="s">
        <v>96</v>
      </c>
      <c r="N30" s="25" t="s">
        <v>96</v>
      </c>
      <c r="O30" s="25" t="s">
        <v>96</v>
      </c>
      <c r="P30" s="25" t="s">
        <v>96</v>
      </c>
      <c r="Q30" s="25" t="s">
        <v>96</v>
      </c>
      <c r="R30" s="25" t="s">
        <v>96</v>
      </c>
      <c r="S30" s="25" t="s">
        <v>96</v>
      </c>
      <c r="T30" s="25" t="s">
        <v>96</v>
      </c>
      <c r="U30" s="25" t="s">
        <v>96</v>
      </c>
      <c r="V30" s="25" t="s">
        <v>96</v>
      </c>
      <c r="W30" s="25" t="s">
        <v>96</v>
      </c>
      <c r="X30" s="25" t="s">
        <v>96</v>
      </c>
      <c r="Y30" s="25" t="s">
        <v>96</v>
      </c>
      <c r="Z30" s="25" t="s">
        <v>96</v>
      </c>
      <c r="AA30" s="25" t="s">
        <v>96</v>
      </c>
      <c r="AB30" s="25" t="s">
        <v>96</v>
      </c>
      <c r="AC30" s="25" t="s">
        <v>96</v>
      </c>
      <c r="AD30" s="25" t="s">
        <v>96</v>
      </c>
      <c r="AE30" s="25" t="s">
        <v>96</v>
      </c>
    </row>
    <row r="31" spans="1:31">
      <c r="A31" s="20" t="s">
        <v>19</v>
      </c>
      <c r="B31" s="21">
        <v>42942.5</v>
      </c>
      <c r="C31" s="25" t="s">
        <v>96</v>
      </c>
      <c r="D31" s="25" t="s">
        <v>96</v>
      </c>
      <c r="E31" s="25" t="s">
        <v>96</v>
      </c>
      <c r="F31" s="22">
        <v>8.24</v>
      </c>
      <c r="G31" s="25" t="s">
        <v>96</v>
      </c>
      <c r="H31" s="25" t="s">
        <v>96</v>
      </c>
      <c r="I31" s="22">
        <v>0.14000000000000001</v>
      </c>
      <c r="J31" s="25" t="s">
        <v>96</v>
      </c>
      <c r="K31" s="22">
        <v>3.22</v>
      </c>
      <c r="L31" s="25" t="s">
        <v>96</v>
      </c>
      <c r="M31" s="25" t="s">
        <v>96</v>
      </c>
      <c r="N31" s="25" t="s">
        <v>96</v>
      </c>
      <c r="O31" s="25" t="s">
        <v>96</v>
      </c>
      <c r="P31" s="25" t="s">
        <v>96</v>
      </c>
      <c r="Q31" s="25" t="s">
        <v>96</v>
      </c>
      <c r="R31" s="25" t="s">
        <v>96</v>
      </c>
      <c r="S31" s="25" t="s">
        <v>96</v>
      </c>
      <c r="T31" s="25" t="s">
        <v>96</v>
      </c>
      <c r="U31" s="25" t="s">
        <v>96</v>
      </c>
      <c r="V31" s="25" t="s">
        <v>96</v>
      </c>
      <c r="W31" s="25" t="s">
        <v>96</v>
      </c>
      <c r="X31" s="25" t="s">
        <v>96</v>
      </c>
      <c r="Y31" s="25" t="s">
        <v>96</v>
      </c>
      <c r="Z31" s="25" t="s">
        <v>96</v>
      </c>
      <c r="AA31" s="25" t="s">
        <v>96</v>
      </c>
      <c r="AB31" s="25" t="s">
        <v>96</v>
      </c>
      <c r="AC31" s="25" t="s">
        <v>96</v>
      </c>
      <c r="AD31" s="25" t="s">
        <v>96</v>
      </c>
      <c r="AE31" s="25" t="s">
        <v>96</v>
      </c>
    </row>
    <row r="32" spans="1:31">
      <c r="A32" s="20" t="s">
        <v>19</v>
      </c>
      <c r="B32" s="21">
        <v>42949</v>
      </c>
      <c r="C32" s="22">
        <v>5.9</v>
      </c>
      <c r="D32" s="22">
        <v>1190</v>
      </c>
      <c r="E32" s="22">
        <v>726</v>
      </c>
      <c r="F32" s="22">
        <v>8.19</v>
      </c>
      <c r="G32" s="25" t="s">
        <v>96</v>
      </c>
      <c r="H32" s="22">
        <v>1040</v>
      </c>
      <c r="I32" s="22">
        <v>0.24</v>
      </c>
      <c r="J32" s="24">
        <f>0.5* 0.005</f>
        <v>2.5000000000000001E-3</v>
      </c>
      <c r="K32" s="22">
        <v>0.95899999999999996</v>
      </c>
      <c r="L32" s="25" t="s">
        <v>96</v>
      </c>
      <c r="M32" s="22">
        <v>170</v>
      </c>
      <c r="N32" s="72">
        <f t="shared" si="0"/>
        <v>0</v>
      </c>
      <c r="O32" s="24">
        <f>0.5* 0.005</f>
        <v>2.5000000000000001E-3</v>
      </c>
      <c r="P32" s="24">
        <f>0.5* 0.005</f>
        <v>2.5000000000000001E-3</v>
      </c>
      <c r="Q32" s="24">
        <f>0.5* 0.5</f>
        <v>0.25</v>
      </c>
      <c r="R32" s="25" t="s">
        <v>96</v>
      </c>
      <c r="S32" s="25" t="s">
        <v>96</v>
      </c>
      <c r="T32" s="25" t="s">
        <v>96</v>
      </c>
      <c r="U32" s="25" t="s">
        <v>96</v>
      </c>
      <c r="V32" s="25" t="s">
        <v>96</v>
      </c>
      <c r="W32" s="25" t="s">
        <v>96</v>
      </c>
      <c r="X32" s="25" t="s">
        <v>96</v>
      </c>
      <c r="Y32" s="25" t="s">
        <v>96</v>
      </c>
      <c r="Z32" s="25" t="s">
        <v>96</v>
      </c>
      <c r="AA32" s="22">
        <v>1.37E-2</v>
      </c>
      <c r="AB32" s="22">
        <v>4.3299999999999996E-3</v>
      </c>
      <c r="AC32" s="22">
        <v>6.0999999999999997E-4</v>
      </c>
      <c r="AD32" s="24">
        <f>0.5* 0.01</f>
        <v>5.0000000000000001E-3</v>
      </c>
      <c r="AE32" s="24">
        <f>0.5* 0.001</f>
        <v>5.0000000000000001E-4</v>
      </c>
    </row>
    <row r="33" spans="1:31">
      <c r="A33" s="20" t="s">
        <v>19</v>
      </c>
      <c r="B33" s="21">
        <v>42956.5</v>
      </c>
      <c r="C33" s="25" t="s">
        <v>96</v>
      </c>
      <c r="D33" s="25" t="s">
        <v>96</v>
      </c>
      <c r="E33" s="25" t="s">
        <v>96</v>
      </c>
      <c r="F33" s="22">
        <v>8.2100000000000009</v>
      </c>
      <c r="G33" s="25" t="s">
        <v>96</v>
      </c>
      <c r="H33" s="25" t="s">
        <v>96</v>
      </c>
      <c r="I33" s="22">
        <v>0.19</v>
      </c>
      <c r="J33" s="25" t="s">
        <v>96</v>
      </c>
      <c r="K33" s="22">
        <v>3.22</v>
      </c>
      <c r="L33" s="25" t="s">
        <v>96</v>
      </c>
      <c r="M33" s="25" t="s">
        <v>96</v>
      </c>
      <c r="N33" s="25" t="s">
        <v>96</v>
      </c>
      <c r="O33" s="25" t="s">
        <v>96</v>
      </c>
      <c r="P33" s="25" t="s">
        <v>96</v>
      </c>
      <c r="Q33" s="25" t="s">
        <v>96</v>
      </c>
      <c r="R33" s="25" t="s">
        <v>96</v>
      </c>
      <c r="S33" s="25" t="s">
        <v>96</v>
      </c>
      <c r="T33" s="25" t="s">
        <v>96</v>
      </c>
      <c r="U33" s="25" t="s">
        <v>96</v>
      </c>
      <c r="V33" s="25" t="s">
        <v>96</v>
      </c>
      <c r="W33" s="25" t="s">
        <v>96</v>
      </c>
      <c r="X33" s="25" t="s">
        <v>96</v>
      </c>
      <c r="Y33" s="25" t="s">
        <v>96</v>
      </c>
      <c r="Z33" s="25" t="s">
        <v>96</v>
      </c>
      <c r="AA33" s="25" t="s">
        <v>96</v>
      </c>
      <c r="AB33" s="25" t="s">
        <v>96</v>
      </c>
      <c r="AC33" s="25" t="s">
        <v>96</v>
      </c>
      <c r="AD33" s="25" t="s">
        <v>96</v>
      </c>
      <c r="AE33" s="25" t="s">
        <v>96</v>
      </c>
    </row>
    <row r="34" spans="1:31">
      <c r="A34" s="20" t="s">
        <v>19</v>
      </c>
      <c r="B34" s="21">
        <v>42963.5</v>
      </c>
      <c r="C34" s="25" t="s">
        <v>96</v>
      </c>
      <c r="D34" s="25" t="s">
        <v>96</v>
      </c>
      <c r="E34" s="25" t="s">
        <v>96</v>
      </c>
      <c r="F34" s="22">
        <v>8.3000000000000007</v>
      </c>
      <c r="G34" s="25" t="s">
        <v>96</v>
      </c>
      <c r="H34" s="25" t="s">
        <v>96</v>
      </c>
      <c r="I34" s="22">
        <v>0.26</v>
      </c>
      <c r="J34" s="25" t="s">
        <v>96</v>
      </c>
      <c r="K34" s="22">
        <v>3.18</v>
      </c>
      <c r="L34" s="25" t="s">
        <v>96</v>
      </c>
      <c r="M34" s="25" t="s">
        <v>96</v>
      </c>
      <c r="N34" s="25" t="s">
        <v>96</v>
      </c>
      <c r="O34" s="25" t="s">
        <v>96</v>
      </c>
      <c r="P34" s="25" t="s">
        <v>96</v>
      </c>
      <c r="Q34" s="25" t="s">
        <v>96</v>
      </c>
      <c r="R34" s="25" t="s">
        <v>96</v>
      </c>
      <c r="S34" s="25" t="s">
        <v>96</v>
      </c>
      <c r="T34" s="25" t="s">
        <v>96</v>
      </c>
      <c r="U34" s="25" t="s">
        <v>96</v>
      </c>
      <c r="V34" s="25" t="s">
        <v>96</v>
      </c>
      <c r="W34" s="25" t="s">
        <v>96</v>
      </c>
      <c r="X34" s="25" t="s">
        <v>96</v>
      </c>
      <c r="Y34" s="25" t="s">
        <v>96</v>
      </c>
      <c r="Z34" s="25" t="s">
        <v>96</v>
      </c>
      <c r="AA34" s="25" t="s">
        <v>96</v>
      </c>
      <c r="AB34" s="25" t="s">
        <v>96</v>
      </c>
      <c r="AC34" s="25" t="s">
        <v>96</v>
      </c>
      <c r="AD34" s="25" t="s">
        <v>96</v>
      </c>
      <c r="AE34" s="25" t="s">
        <v>96</v>
      </c>
    </row>
    <row r="35" spans="1:31">
      <c r="A35" s="20" t="s">
        <v>19</v>
      </c>
      <c r="B35" s="21">
        <v>42970.5</v>
      </c>
      <c r="C35" s="25" t="s">
        <v>96</v>
      </c>
      <c r="D35" s="25" t="s">
        <v>96</v>
      </c>
      <c r="E35" s="25" t="s">
        <v>96</v>
      </c>
      <c r="F35" s="22">
        <v>8.2899999999999991</v>
      </c>
      <c r="G35" s="25" t="s">
        <v>96</v>
      </c>
      <c r="H35" s="25" t="s">
        <v>96</v>
      </c>
      <c r="I35" s="22">
        <v>0.37</v>
      </c>
      <c r="J35" s="25" t="s">
        <v>96</v>
      </c>
      <c r="K35" s="22">
        <v>3.2</v>
      </c>
      <c r="L35" s="25" t="s">
        <v>96</v>
      </c>
      <c r="M35" s="25" t="s">
        <v>96</v>
      </c>
      <c r="N35" s="25" t="s">
        <v>96</v>
      </c>
      <c r="O35" s="25" t="s">
        <v>96</v>
      </c>
      <c r="P35" s="25" t="s">
        <v>96</v>
      </c>
      <c r="Q35" s="25" t="s">
        <v>96</v>
      </c>
      <c r="R35" s="25" t="s">
        <v>96</v>
      </c>
      <c r="S35" s="25" t="s">
        <v>96</v>
      </c>
      <c r="T35" s="25" t="s">
        <v>96</v>
      </c>
      <c r="U35" s="25" t="s">
        <v>96</v>
      </c>
      <c r="V35" s="25" t="s">
        <v>96</v>
      </c>
      <c r="W35" s="25" t="s">
        <v>96</v>
      </c>
      <c r="X35" s="25" t="s">
        <v>96</v>
      </c>
      <c r="Y35" s="25" t="s">
        <v>96</v>
      </c>
      <c r="Z35" s="25" t="s">
        <v>96</v>
      </c>
      <c r="AA35" s="25" t="s">
        <v>96</v>
      </c>
      <c r="AB35" s="25" t="s">
        <v>96</v>
      </c>
      <c r="AC35" s="25" t="s">
        <v>96</v>
      </c>
      <c r="AD35" s="25" t="s">
        <v>96</v>
      </c>
      <c r="AE35" s="25" t="s">
        <v>96</v>
      </c>
    </row>
    <row r="36" spans="1:31">
      <c r="A36" s="20" t="s">
        <v>19</v>
      </c>
      <c r="B36" s="21">
        <v>42977.5</v>
      </c>
      <c r="C36" s="25" t="s">
        <v>96</v>
      </c>
      <c r="D36" s="25" t="s">
        <v>96</v>
      </c>
      <c r="E36" s="25" t="s">
        <v>96</v>
      </c>
      <c r="F36" s="22">
        <v>8.2100000000000009</v>
      </c>
      <c r="G36" s="25" t="s">
        <v>96</v>
      </c>
      <c r="H36" s="25" t="s">
        <v>96</v>
      </c>
      <c r="I36" s="22">
        <v>0.33</v>
      </c>
      <c r="J36" s="25" t="s">
        <v>96</v>
      </c>
      <c r="K36" s="22">
        <v>3.31</v>
      </c>
      <c r="L36" s="25" t="s">
        <v>96</v>
      </c>
      <c r="M36" s="25" t="s">
        <v>96</v>
      </c>
      <c r="N36" s="25" t="s">
        <v>96</v>
      </c>
      <c r="O36" s="25" t="s">
        <v>96</v>
      </c>
      <c r="P36" s="25" t="s">
        <v>96</v>
      </c>
      <c r="Q36" s="25" t="s">
        <v>96</v>
      </c>
      <c r="R36" s="25" t="s">
        <v>96</v>
      </c>
      <c r="S36" s="25" t="s">
        <v>96</v>
      </c>
      <c r="T36" s="25" t="s">
        <v>96</v>
      </c>
      <c r="U36" s="25" t="s">
        <v>96</v>
      </c>
      <c r="V36" s="25" t="s">
        <v>96</v>
      </c>
      <c r="W36" s="25" t="s">
        <v>96</v>
      </c>
      <c r="X36" s="25" t="s">
        <v>96</v>
      </c>
      <c r="Y36" s="25" t="s">
        <v>96</v>
      </c>
      <c r="Z36" s="25" t="s">
        <v>96</v>
      </c>
      <c r="AA36" s="25" t="s">
        <v>96</v>
      </c>
      <c r="AB36" s="25" t="s">
        <v>96</v>
      </c>
      <c r="AC36" s="25" t="s">
        <v>96</v>
      </c>
      <c r="AD36" s="25" t="s">
        <v>96</v>
      </c>
      <c r="AE36" s="25" t="s">
        <v>96</v>
      </c>
    </row>
    <row r="37" spans="1:31">
      <c r="A37" s="20" t="s">
        <v>19</v>
      </c>
      <c r="B37" s="21">
        <v>42984</v>
      </c>
      <c r="C37" s="22">
        <v>7.2</v>
      </c>
      <c r="D37" s="25" t="s">
        <v>96</v>
      </c>
      <c r="E37" s="22">
        <v>773</v>
      </c>
      <c r="F37" s="22">
        <v>8.2899999999999991</v>
      </c>
      <c r="G37" s="25" t="s">
        <v>96</v>
      </c>
      <c r="H37" s="22">
        <v>1090</v>
      </c>
      <c r="I37" s="22">
        <v>0.31</v>
      </c>
      <c r="J37" s="24">
        <f>0.5* 0.005</f>
        <v>2.5000000000000001E-3</v>
      </c>
      <c r="K37" s="22">
        <v>3.25</v>
      </c>
      <c r="L37" s="24">
        <f>0.5* 0.005</f>
        <v>2.5000000000000001E-3</v>
      </c>
      <c r="M37" s="22">
        <v>593</v>
      </c>
      <c r="N37" s="72">
        <f t="shared" si="0"/>
        <v>0</v>
      </c>
      <c r="O37" s="24">
        <f>0.5* 0.005</f>
        <v>2.5000000000000001E-3</v>
      </c>
      <c r="P37" s="24">
        <f>0.5* 0.005</f>
        <v>2.5000000000000001E-3</v>
      </c>
      <c r="Q37" s="24">
        <f>0.5* 0.5</f>
        <v>0.25</v>
      </c>
      <c r="R37" s="25" t="s">
        <v>96</v>
      </c>
      <c r="S37" s="25" t="s">
        <v>96</v>
      </c>
      <c r="T37" s="25" t="s">
        <v>96</v>
      </c>
      <c r="U37" s="25" t="s">
        <v>96</v>
      </c>
      <c r="V37" s="25" t="s">
        <v>96</v>
      </c>
      <c r="W37" s="25" t="s">
        <v>96</v>
      </c>
      <c r="X37" s="25" t="s">
        <v>96</v>
      </c>
      <c r="Y37" s="25" t="s">
        <v>96</v>
      </c>
      <c r="Z37" s="25" t="s">
        <v>96</v>
      </c>
      <c r="AA37" s="22">
        <v>1.44E-2</v>
      </c>
      <c r="AB37" s="22">
        <v>5.7000000000000002E-3</v>
      </c>
      <c r="AC37" s="22">
        <v>5.9000000000000003E-4</v>
      </c>
      <c r="AD37" s="24">
        <f>0.5* 0.01</f>
        <v>5.0000000000000001E-3</v>
      </c>
      <c r="AE37" s="24">
        <f>0.5* 0.001</f>
        <v>5.0000000000000001E-4</v>
      </c>
    </row>
    <row r="38" spans="1:31">
      <c r="A38" s="20" t="s">
        <v>19</v>
      </c>
      <c r="B38" s="21">
        <v>42991.5</v>
      </c>
      <c r="C38" s="25" t="s">
        <v>96</v>
      </c>
      <c r="D38" s="25" t="s">
        <v>96</v>
      </c>
      <c r="E38" s="25" t="s">
        <v>96</v>
      </c>
      <c r="F38" s="22">
        <v>8.3000000000000007</v>
      </c>
      <c r="G38" s="25" t="s">
        <v>96</v>
      </c>
      <c r="H38" s="25" t="s">
        <v>96</v>
      </c>
      <c r="I38" s="22">
        <v>0.19</v>
      </c>
      <c r="J38" s="25" t="s">
        <v>96</v>
      </c>
      <c r="K38" s="22">
        <v>3.18</v>
      </c>
      <c r="L38" s="25" t="s">
        <v>96</v>
      </c>
      <c r="M38" s="25" t="s">
        <v>96</v>
      </c>
      <c r="N38" s="25" t="s">
        <v>96</v>
      </c>
      <c r="O38" s="25" t="s">
        <v>96</v>
      </c>
      <c r="P38" s="25" t="s">
        <v>96</v>
      </c>
      <c r="Q38" s="25" t="s">
        <v>96</v>
      </c>
      <c r="R38" s="25" t="s">
        <v>96</v>
      </c>
      <c r="S38" s="25" t="s">
        <v>96</v>
      </c>
      <c r="T38" s="25" t="s">
        <v>96</v>
      </c>
      <c r="U38" s="25" t="s">
        <v>96</v>
      </c>
      <c r="V38" s="25" t="s">
        <v>96</v>
      </c>
      <c r="W38" s="25" t="s">
        <v>96</v>
      </c>
      <c r="X38" s="25" t="s">
        <v>96</v>
      </c>
      <c r="Y38" s="25" t="s">
        <v>96</v>
      </c>
      <c r="Z38" s="25" t="s">
        <v>96</v>
      </c>
      <c r="AA38" s="25" t="s">
        <v>96</v>
      </c>
      <c r="AB38" s="25" t="s">
        <v>96</v>
      </c>
      <c r="AC38" s="25" t="s">
        <v>96</v>
      </c>
      <c r="AD38" s="25" t="s">
        <v>96</v>
      </c>
      <c r="AE38" s="25" t="s">
        <v>96</v>
      </c>
    </row>
    <row r="39" spans="1:31">
      <c r="A39" s="20" t="s">
        <v>19</v>
      </c>
      <c r="B39" s="21">
        <v>42998.5</v>
      </c>
      <c r="C39" s="25" t="s">
        <v>96</v>
      </c>
      <c r="D39" s="25" t="s">
        <v>96</v>
      </c>
      <c r="E39" s="25" t="s">
        <v>96</v>
      </c>
      <c r="F39" s="22">
        <v>8.27</v>
      </c>
      <c r="G39" s="25" t="s">
        <v>96</v>
      </c>
      <c r="H39" s="25" t="s">
        <v>96</v>
      </c>
      <c r="I39" s="22">
        <v>0.36</v>
      </c>
      <c r="J39" s="25" t="s">
        <v>96</v>
      </c>
      <c r="K39" s="22">
        <v>3.28</v>
      </c>
      <c r="L39" s="25" t="s">
        <v>96</v>
      </c>
      <c r="M39" s="25" t="s">
        <v>96</v>
      </c>
      <c r="N39" s="25" t="s">
        <v>96</v>
      </c>
      <c r="O39" s="25" t="s">
        <v>96</v>
      </c>
      <c r="P39" s="25" t="s">
        <v>96</v>
      </c>
      <c r="Q39" s="25" t="s">
        <v>96</v>
      </c>
      <c r="R39" s="25" t="s">
        <v>96</v>
      </c>
      <c r="S39" s="25" t="s">
        <v>96</v>
      </c>
      <c r="T39" s="25" t="s">
        <v>96</v>
      </c>
      <c r="U39" s="25" t="s">
        <v>96</v>
      </c>
      <c r="V39" s="25" t="s">
        <v>96</v>
      </c>
      <c r="W39" s="25" t="s">
        <v>96</v>
      </c>
      <c r="X39" s="25" t="s">
        <v>96</v>
      </c>
      <c r="Y39" s="25" t="s">
        <v>96</v>
      </c>
      <c r="Z39" s="25" t="s">
        <v>96</v>
      </c>
      <c r="AA39" s="25" t="s">
        <v>96</v>
      </c>
      <c r="AB39" s="25" t="s">
        <v>96</v>
      </c>
      <c r="AC39" s="25" t="s">
        <v>96</v>
      </c>
      <c r="AD39" s="25" t="s">
        <v>96</v>
      </c>
      <c r="AE39" s="25" t="s">
        <v>96</v>
      </c>
    </row>
    <row r="40" spans="1:31">
      <c r="A40" s="20" t="s">
        <v>19</v>
      </c>
      <c r="B40" s="21">
        <v>43003.447916666664</v>
      </c>
      <c r="C40" s="25" t="s">
        <v>96</v>
      </c>
      <c r="D40" s="22">
        <v>1200</v>
      </c>
      <c r="E40" s="22">
        <v>772</v>
      </c>
      <c r="F40" s="22">
        <v>8.24</v>
      </c>
      <c r="G40" s="22">
        <v>3.3</v>
      </c>
      <c r="H40" s="22">
        <v>1070</v>
      </c>
      <c r="I40" s="22">
        <v>0.24</v>
      </c>
      <c r="J40" s="24">
        <f>0.5* 0.005</f>
        <v>2.5000000000000001E-3</v>
      </c>
      <c r="K40" s="22">
        <v>3.22</v>
      </c>
      <c r="L40" s="24">
        <f>0.5* 0.005</f>
        <v>2.5000000000000001E-3</v>
      </c>
      <c r="M40" s="22">
        <v>583</v>
      </c>
      <c r="N40" s="72">
        <f t="shared" si="0"/>
        <v>-1.0000000000000026E-4</v>
      </c>
      <c r="O40" s="24">
        <f>0.5* 0.005</f>
        <v>2.5000000000000001E-3</v>
      </c>
      <c r="P40" s="22">
        <v>2.3999999999999998E-3</v>
      </c>
      <c r="Q40" s="24">
        <f>0.5* 0.5</f>
        <v>0.25</v>
      </c>
      <c r="R40" s="22">
        <v>1.4200000000000001E-2</v>
      </c>
      <c r="S40" s="22">
        <v>1.08E-4</v>
      </c>
      <c r="T40" s="22">
        <v>6.2300000000000003E-3</v>
      </c>
      <c r="U40" s="24">
        <f>0.5* 0.00005</f>
        <v>2.5000000000000001E-5</v>
      </c>
      <c r="V40" s="25" t="s">
        <v>96</v>
      </c>
      <c r="W40" s="22">
        <v>7.9000000000000008E-3</v>
      </c>
      <c r="X40" s="22">
        <v>1.6799999999999999E-2</v>
      </c>
      <c r="Y40" s="24">
        <f>0.5* 0.00001</f>
        <v>5.0000000000000004E-6</v>
      </c>
      <c r="Z40" s="24">
        <f>0.5* 0.003</f>
        <v>1.5E-3</v>
      </c>
      <c r="AA40" s="22">
        <v>1.47E-2</v>
      </c>
      <c r="AB40" s="22">
        <v>5.8300000000000001E-3</v>
      </c>
      <c r="AC40" s="22">
        <v>6.4000000000000005E-4</v>
      </c>
      <c r="AD40" s="24">
        <f>0.5* 0.01</f>
        <v>5.0000000000000001E-3</v>
      </c>
      <c r="AE40" s="24">
        <f>0.5* 0.001</f>
        <v>5.0000000000000001E-4</v>
      </c>
    </row>
    <row r="41" spans="1:31">
      <c r="A41" s="20"/>
      <c r="B41" s="93">
        <v>43005</v>
      </c>
      <c r="C41" s="27">
        <v>5.7</v>
      </c>
      <c r="D41" s="25" t="s">
        <v>96</v>
      </c>
      <c r="E41" s="25" t="s">
        <v>96</v>
      </c>
      <c r="F41" s="25" t="s">
        <v>96</v>
      </c>
      <c r="G41" s="25" t="s">
        <v>96</v>
      </c>
      <c r="H41" s="25" t="s">
        <v>96</v>
      </c>
      <c r="I41" s="25" t="s">
        <v>96</v>
      </c>
      <c r="J41" s="25" t="s">
        <v>96</v>
      </c>
      <c r="K41" s="25" t="s">
        <v>96</v>
      </c>
      <c r="L41" s="25" t="s">
        <v>96</v>
      </c>
      <c r="M41" s="25" t="s">
        <v>96</v>
      </c>
      <c r="N41" s="25" t="s">
        <v>96</v>
      </c>
      <c r="O41" s="25" t="s">
        <v>96</v>
      </c>
      <c r="P41" s="25" t="s">
        <v>96</v>
      </c>
      <c r="Q41" s="25" t="s">
        <v>96</v>
      </c>
      <c r="R41" s="25" t="s">
        <v>96</v>
      </c>
      <c r="S41" s="25" t="s">
        <v>96</v>
      </c>
      <c r="T41" s="25" t="s">
        <v>96</v>
      </c>
      <c r="U41" s="25" t="s">
        <v>96</v>
      </c>
      <c r="V41" s="25" t="s">
        <v>96</v>
      </c>
      <c r="W41" s="25" t="s">
        <v>96</v>
      </c>
      <c r="X41" s="25" t="s">
        <v>96</v>
      </c>
      <c r="Y41" s="25" t="s">
        <v>96</v>
      </c>
      <c r="Z41" s="25" t="s">
        <v>96</v>
      </c>
      <c r="AA41" s="25" t="s">
        <v>96</v>
      </c>
      <c r="AB41" s="25" t="s">
        <v>96</v>
      </c>
      <c r="AC41" s="25" t="s">
        <v>96</v>
      </c>
      <c r="AD41" s="25" t="s">
        <v>96</v>
      </c>
      <c r="AE41" s="25" t="s">
        <v>96</v>
      </c>
    </row>
    <row r="42" spans="1:31">
      <c r="A42" s="20" t="s">
        <v>19</v>
      </c>
      <c r="B42" s="21">
        <v>43012</v>
      </c>
      <c r="C42" s="22">
        <v>2.1</v>
      </c>
      <c r="D42" s="22">
        <v>1250</v>
      </c>
      <c r="E42" s="22">
        <v>760</v>
      </c>
      <c r="F42" s="22">
        <v>8.2100000000000009</v>
      </c>
      <c r="G42" s="22">
        <v>20.100000000000001</v>
      </c>
      <c r="H42" s="22">
        <v>1120</v>
      </c>
      <c r="I42" s="22">
        <v>0.28999999999999998</v>
      </c>
      <c r="J42" s="24">
        <f>0.5* 0.005</f>
        <v>2.5000000000000001E-3</v>
      </c>
      <c r="K42" s="22">
        <v>3.26</v>
      </c>
      <c r="L42" s="24">
        <f>0.5* 0.005</f>
        <v>2.5000000000000001E-3</v>
      </c>
      <c r="M42" s="22">
        <v>594</v>
      </c>
      <c r="N42" s="72">
        <f t="shared" si="0"/>
        <v>0</v>
      </c>
      <c r="O42" s="24">
        <f>0.5* 0.005</f>
        <v>2.5000000000000001E-3</v>
      </c>
      <c r="P42" s="24">
        <f>0.5* 0.005</f>
        <v>2.5000000000000001E-3</v>
      </c>
      <c r="Q42" s="24">
        <f>0.5* 0.5</f>
        <v>0.25</v>
      </c>
      <c r="R42" s="22">
        <v>1.4200000000000001E-2</v>
      </c>
      <c r="S42" s="22">
        <v>1.01E-4</v>
      </c>
      <c r="T42" s="22">
        <v>6.6499999999999997E-3</v>
      </c>
      <c r="U42" s="24">
        <f>0.5* 0.00005</f>
        <v>2.5000000000000001E-5</v>
      </c>
      <c r="V42" s="24">
        <f>0.5* 0.000005</f>
        <v>2.5000000000000002E-6</v>
      </c>
      <c r="W42" s="22">
        <v>7.45E-3</v>
      </c>
      <c r="X42" s="22">
        <v>1.5599999999999999E-2</v>
      </c>
      <c r="Y42" s="24">
        <f>0.5* 0.00001</f>
        <v>5.0000000000000004E-6</v>
      </c>
      <c r="Z42" s="24">
        <f>0.5* 0.003</f>
        <v>1.5E-3</v>
      </c>
      <c r="AA42" s="22">
        <v>1.41E-2</v>
      </c>
      <c r="AB42" s="22">
        <v>5.7099999999999998E-3</v>
      </c>
      <c r="AC42" s="22">
        <v>5.9000000000000003E-4</v>
      </c>
      <c r="AD42" s="24">
        <f>0.5* 0.01</f>
        <v>5.0000000000000001E-3</v>
      </c>
      <c r="AE42" s="24">
        <f>0.5* 0.001</f>
        <v>5.0000000000000001E-4</v>
      </c>
    </row>
    <row r="43" spans="1:31">
      <c r="A43" s="20" t="s">
        <v>19</v>
      </c>
      <c r="B43" s="21">
        <v>43019.5</v>
      </c>
      <c r="C43" s="25" t="s">
        <v>96</v>
      </c>
      <c r="D43" s="25" t="s">
        <v>96</v>
      </c>
      <c r="E43" s="25" t="s">
        <v>96</v>
      </c>
      <c r="F43" s="22">
        <v>8.31</v>
      </c>
      <c r="G43" s="25" t="s">
        <v>96</v>
      </c>
      <c r="H43" s="25" t="s">
        <v>96</v>
      </c>
      <c r="I43" s="22">
        <v>0.24</v>
      </c>
      <c r="J43" s="25" t="s">
        <v>96</v>
      </c>
      <c r="K43" s="22">
        <v>3.51</v>
      </c>
      <c r="L43" s="25" t="s">
        <v>96</v>
      </c>
      <c r="M43" s="25" t="s">
        <v>96</v>
      </c>
      <c r="N43" s="25" t="s">
        <v>96</v>
      </c>
      <c r="O43" s="25" t="s">
        <v>96</v>
      </c>
      <c r="P43" s="25" t="s">
        <v>96</v>
      </c>
      <c r="Q43" s="25" t="s">
        <v>96</v>
      </c>
      <c r="R43" s="25" t="s">
        <v>96</v>
      </c>
      <c r="S43" s="25" t="s">
        <v>96</v>
      </c>
      <c r="T43" s="25" t="s">
        <v>96</v>
      </c>
      <c r="U43" s="25" t="s">
        <v>96</v>
      </c>
      <c r="V43" s="25" t="s">
        <v>96</v>
      </c>
      <c r="W43" s="25" t="s">
        <v>96</v>
      </c>
      <c r="X43" s="25" t="s">
        <v>96</v>
      </c>
      <c r="Y43" s="25" t="s">
        <v>96</v>
      </c>
      <c r="Z43" s="25" t="s">
        <v>96</v>
      </c>
      <c r="AA43" s="25" t="s">
        <v>96</v>
      </c>
      <c r="AB43" s="25" t="s">
        <v>96</v>
      </c>
      <c r="AC43" s="25" t="s">
        <v>96</v>
      </c>
      <c r="AD43" s="25" t="s">
        <v>96</v>
      </c>
      <c r="AE43" s="25" t="s">
        <v>96</v>
      </c>
    </row>
    <row r="44" spans="1:31">
      <c r="A44" s="20" t="s">
        <v>19</v>
      </c>
      <c r="B44" s="21">
        <v>43026</v>
      </c>
      <c r="C44" s="22">
        <v>3</v>
      </c>
      <c r="D44" s="25" t="s">
        <v>96</v>
      </c>
      <c r="E44" s="25" t="s">
        <v>96</v>
      </c>
      <c r="F44" s="22">
        <v>8.26</v>
      </c>
      <c r="G44" s="25" t="s">
        <v>96</v>
      </c>
      <c r="H44" s="25" t="s">
        <v>96</v>
      </c>
      <c r="I44" s="22">
        <v>0.23</v>
      </c>
      <c r="J44" s="25" t="s">
        <v>96</v>
      </c>
      <c r="K44" s="22">
        <v>3.32</v>
      </c>
      <c r="L44" s="25" t="s">
        <v>96</v>
      </c>
      <c r="M44" s="25" t="s">
        <v>96</v>
      </c>
      <c r="N44" s="25" t="s">
        <v>96</v>
      </c>
      <c r="O44" s="25" t="s">
        <v>96</v>
      </c>
      <c r="P44" s="25" t="s">
        <v>96</v>
      </c>
      <c r="Q44" s="25" t="s">
        <v>96</v>
      </c>
      <c r="R44" s="25" t="s">
        <v>96</v>
      </c>
      <c r="S44" s="25" t="s">
        <v>96</v>
      </c>
      <c r="T44" s="25" t="s">
        <v>96</v>
      </c>
      <c r="U44" s="25" t="s">
        <v>96</v>
      </c>
      <c r="V44" s="25" t="s">
        <v>96</v>
      </c>
      <c r="W44" s="25" t="s">
        <v>96</v>
      </c>
      <c r="X44" s="25" t="s">
        <v>96</v>
      </c>
      <c r="Y44" s="25" t="s">
        <v>96</v>
      </c>
      <c r="Z44" s="25" t="s">
        <v>96</v>
      </c>
      <c r="AA44" s="25" t="s">
        <v>96</v>
      </c>
      <c r="AB44" s="25" t="s">
        <v>96</v>
      </c>
      <c r="AC44" s="25" t="s">
        <v>96</v>
      </c>
      <c r="AD44" s="25" t="s">
        <v>96</v>
      </c>
      <c r="AE44" s="25" t="s">
        <v>96</v>
      </c>
    </row>
    <row r="45" spans="1:31">
      <c r="A45" s="20" t="s">
        <v>19</v>
      </c>
      <c r="B45" s="21">
        <v>43033</v>
      </c>
      <c r="C45" s="22">
        <v>4.7</v>
      </c>
      <c r="D45" s="25" t="s">
        <v>96</v>
      </c>
      <c r="E45" s="25" t="s">
        <v>96</v>
      </c>
      <c r="F45" s="22">
        <v>8.23</v>
      </c>
      <c r="G45" s="25" t="s">
        <v>96</v>
      </c>
      <c r="H45" s="25" t="s">
        <v>96</v>
      </c>
      <c r="I45" s="22">
        <v>0.28000000000000003</v>
      </c>
      <c r="J45" s="25" t="s">
        <v>96</v>
      </c>
      <c r="K45" s="22">
        <v>3.37</v>
      </c>
      <c r="L45" s="25" t="s">
        <v>96</v>
      </c>
      <c r="M45" s="25" t="s">
        <v>96</v>
      </c>
      <c r="N45" s="25" t="s">
        <v>96</v>
      </c>
      <c r="O45" s="25" t="s">
        <v>96</v>
      </c>
      <c r="P45" s="25" t="s">
        <v>96</v>
      </c>
      <c r="Q45" s="25" t="s">
        <v>96</v>
      </c>
      <c r="R45" s="25" t="s">
        <v>96</v>
      </c>
      <c r="S45" s="25" t="s">
        <v>96</v>
      </c>
      <c r="T45" s="25" t="s">
        <v>96</v>
      </c>
      <c r="U45" s="25" t="s">
        <v>96</v>
      </c>
      <c r="V45" s="25" t="s">
        <v>96</v>
      </c>
      <c r="W45" s="25" t="s">
        <v>96</v>
      </c>
      <c r="X45" s="25" t="s">
        <v>96</v>
      </c>
      <c r="Y45" s="25" t="s">
        <v>96</v>
      </c>
      <c r="Z45" s="25" t="s">
        <v>96</v>
      </c>
      <c r="AA45" s="25" t="s">
        <v>96</v>
      </c>
      <c r="AB45" s="25" t="s">
        <v>96</v>
      </c>
      <c r="AC45" s="25" t="s">
        <v>96</v>
      </c>
      <c r="AD45" s="25" t="s">
        <v>96</v>
      </c>
      <c r="AE45" s="25" t="s">
        <v>96</v>
      </c>
    </row>
    <row r="46" spans="1:31">
      <c r="A46" s="20" t="s">
        <v>19</v>
      </c>
      <c r="B46" s="21">
        <v>43040</v>
      </c>
      <c r="C46" s="22">
        <v>2.5</v>
      </c>
      <c r="D46" s="25" t="s">
        <v>96</v>
      </c>
      <c r="E46" s="25" t="s">
        <v>96</v>
      </c>
      <c r="F46" s="22">
        <v>8.2899999999999991</v>
      </c>
      <c r="G46" s="25" t="s">
        <v>96</v>
      </c>
      <c r="H46" s="25" t="s">
        <v>96</v>
      </c>
      <c r="I46" s="22">
        <v>0.2</v>
      </c>
      <c r="J46" s="25" t="s">
        <v>96</v>
      </c>
      <c r="K46" s="22">
        <v>3.39</v>
      </c>
      <c r="L46" s="25" t="s">
        <v>96</v>
      </c>
      <c r="M46" s="25" t="s">
        <v>96</v>
      </c>
      <c r="N46" s="25" t="s">
        <v>96</v>
      </c>
      <c r="O46" s="25" t="s">
        <v>96</v>
      </c>
      <c r="P46" s="25" t="s">
        <v>96</v>
      </c>
      <c r="Q46" s="25" t="s">
        <v>96</v>
      </c>
      <c r="R46" s="25" t="s">
        <v>96</v>
      </c>
      <c r="S46" s="25" t="s">
        <v>96</v>
      </c>
      <c r="T46" s="25" t="s">
        <v>96</v>
      </c>
      <c r="U46" s="25" t="s">
        <v>96</v>
      </c>
      <c r="V46" s="25" t="s">
        <v>96</v>
      </c>
      <c r="W46" s="25" t="s">
        <v>96</v>
      </c>
      <c r="X46" s="25" t="s">
        <v>96</v>
      </c>
      <c r="Y46" s="25" t="s">
        <v>96</v>
      </c>
      <c r="Z46" s="25" t="s">
        <v>96</v>
      </c>
      <c r="AA46" s="25" t="s">
        <v>96</v>
      </c>
      <c r="AB46" s="25" t="s">
        <v>96</v>
      </c>
      <c r="AC46" s="25" t="s">
        <v>96</v>
      </c>
      <c r="AD46" s="25" t="s">
        <v>96</v>
      </c>
      <c r="AE46" s="25" t="s">
        <v>96</v>
      </c>
    </row>
    <row r="47" spans="1:31">
      <c r="A47" s="20" t="s">
        <v>19</v>
      </c>
      <c r="B47" s="21">
        <v>43047.5</v>
      </c>
      <c r="C47" s="22">
        <v>0.4</v>
      </c>
      <c r="D47" s="22">
        <v>1230</v>
      </c>
      <c r="E47" s="22">
        <v>822</v>
      </c>
      <c r="F47" s="22">
        <v>8.2899999999999991</v>
      </c>
      <c r="G47" s="25" t="s">
        <v>96</v>
      </c>
      <c r="H47" s="22">
        <v>1100</v>
      </c>
      <c r="I47" s="22">
        <v>0.27</v>
      </c>
      <c r="J47" s="24">
        <f>0.5* 0.005</f>
        <v>2.5000000000000001E-3</v>
      </c>
      <c r="K47" s="22">
        <v>3.39</v>
      </c>
      <c r="L47" s="25" t="s">
        <v>96</v>
      </c>
      <c r="M47" s="22">
        <v>610</v>
      </c>
      <c r="N47" s="72">
        <f t="shared" si="0"/>
        <v>0</v>
      </c>
      <c r="O47" s="24">
        <f>0.5* 0.005</f>
        <v>2.5000000000000001E-3</v>
      </c>
      <c r="P47" s="24">
        <f>0.5* 0.005</f>
        <v>2.5000000000000001E-3</v>
      </c>
      <c r="Q47" s="24">
        <f>0.5* 0.5</f>
        <v>0.25</v>
      </c>
      <c r="R47" s="25" t="s">
        <v>96</v>
      </c>
      <c r="S47" s="25" t="s">
        <v>96</v>
      </c>
      <c r="T47" s="25" t="s">
        <v>96</v>
      </c>
      <c r="U47" s="25" t="s">
        <v>96</v>
      </c>
      <c r="V47" s="25" t="s">
        <v>96</v>
      </c>
      <c r="W47" s="25" t="s">
        <v>96</v>
      </c>
      <c r="X47" s="25" t="s">
        <v>96</v>
      </c>
      <c r="Y47" s="25" t="s">
        <v>96</v>
      </c>
      <c r="Z47" s="25" t="s">
        <v>96</v>
      </c>
      <c r="AA47" s="22">
        <v>1.4500000000000001E-2</v>
      </c>
      <c r="AB47" s="22">
        <v>6.1000000000000004E-3</v>
      </c>
      <c r="AC47" s="22">
        <v>5.1000000000000004E-4</v>
      </c>
      <c r="AD47" s="24">
        <f>0.5* 0.01</f>
        <v>5.0000000000000001E-3</v>
      </c>
      <c r="AE47" s="24">
        <f>0.5* 0.001</f>
        <v>5.0000000000000001E-4</v>
      </c>
    </row>
    <row r="48" spans="1:31">
      <c r="A48" s="20" t="s">
        <v>19</v>
      </c>
      <c r="B48" s="21">
        <v>43054.5</v>
      </c>
      <c r="C48" s="25" t="s">
        <v>96</v>
      </c>
      <c r="D48" s="25" t="s">
        <v>96</v>
      </c>
      <c r="E48" s="25" t="s">
        <v>96</v>
      </c>
      <c r="F48" s="22">
        <v>8.23</v>
      </c>
      <c r="G48" s="25" t="s">
        <v>96</v>
      </c>
      <c r="H48" s="25" t="s">
        <v>96</v>
      </c>
      <c r="I48" s="22">
        <v>0.12</v>
      </c>
      <c r="J48" s="25" t="s">
        <v>96</v>
      </c>
      <c r="K48" s="22">
        <v>3.47</v>
      </c>
      <c r="L48" s="25" t="s">
        <v>96</v>
      </c>
      <c r="M48" s="25" t="s">
        <v>96</v>
      </c>
      <c r="N48" s="25" t="s">
        <v>96</v>
      </c>
      <c r="O48" s="25" t="s">
        <v>96</v>
      </c>
      <c r="P48" s="25" t="s">
        <v>96</v>
      </c>
      <c r="Q48" s="25" t="s">
        <v>96</v>
      </c>
      <c r="R48" s="25" t="s">
        <v>96</v>
      </c>
      <c r="S48" s="25" t="s">
        <v>96</v>
      </c>
      <c r="T48" s="25" t="s">
        <v>96</v>
      </c>
      <c r="U48" s="25" t="s">
        <v>96</v>
      </c>
      <c r="V48" s="25" t="s">
        <v>96</v>
      </c>
      <c r="W48" s="25" t="s">
        <v>96</v>
      </c>
      <c r="X48" s="25" t="s">
        <v>96</v>
      </c>
      <c r="Y48" s="25" t="s">
        <v>96</v>
      </c>
      <c r="Z48" s="25" t="s">
        <v>96</v>
      </c>
      <c r="AA48" s="25" t="s">
        <v>96</v>
      </c>
      <c r="AB48" s="25" t="s">
        <v>96</v>
      </c>
      <c r="AC48" s="25" t="s">
        <v>96</v>
      </c>
      <c r="AD48" s="25" t="s">
        <v>96</v>
      </c>
      <c r="AE48" s="25" t="s">
        <v>96</v>
      </c>
    </row>
    <row r="49" spans="1:31">
      <c r="A49" s="20" t="s">
        <v>19</v>
      </c>
      <c r="B49" s="21">
        <v>43061</v>
      </c>
      <c r="C49" s="22">
        <v>2.8</v>
      </c>
      <c r="D49" s="25" t="s">
        <v>96</v>
      </c>
      <c r="E49" s="25" t="s">
        <v>96</v>
      </c>
      <c r="F49" s="22">
        <v>8.23</v>
      </c>
      <c r="G49" s="22">
        <v>4.5</v>
      </c>
      <c r="H49" s="25" t="s">
        <v>96</v>
      </c>
      <c r="I49" s="22">
        <v>0.21</v>
      </c>
      <c r="J49" s="25" t="s">
        <v>96</v>
      </c>
      <c r="K49" s="22">
        <v>3.45</v>
      </c>
      <c r="L49" s="25" t="s">
        <v>96</v>
      </c>
      <c r="M49" s="25" t="s">
        <v>96</v>
      </c>
      <c r="N49" s="25" t="s">
        <v>96</v>
      </c>
      <c r="O49" s="25" t="s">
        <v>96</v>
      </c>
      <c r="P49" s="25" t="s">
        <v>96</v>
      </c>
      <c r="Q49" s="25" t="s">
        <v>96</v>
      </c>
      <c r="R49" s="25" t="s">
        <v>96</v>
      </c>
      <c r="S49" s="25" t="s">
        <v>96</v>
      </c>
      <c r="T49" s="25" t="s">
        <v>96</v>
      </c>
      <c r="U49" s="25" t="s">
        <v>96</v>
      </c>
      <c r="V49" s="25" t="s">
        <v>96</v>
      </c>
      <c r="W49" s="25" t="s">
        <v>96</v>
      </c>
      <c r="X49" s="25" t="s">
        <v>96</v>
      </c>
      <c r="Y49" s="25" t="s">
        <v>96</v>
      </c>
      <c r="Z49" s="25" t="s">
        <v>96</v>
      </c>
      <c r="AA49" s="25" t="s">
        <v>96</v>
      </c>
      <c r="AB49" s="25" t="s">
        <v>96</v>
      </c>
      <c r="AC49" s="25" t="s">
        <v>96</v>
      </c>
      <c r="AD49" s="25" t="s">
        <v>96</v>
      </c>
      <c r="AE49" s="25" t="s">
        <v>96</v>
      </c>
    </row>
    <row r="50" spans="1:31">
      <c r="A50" s="20" t="s">
        <v>19</v>
      </c>
      <c r="B50" s="21">
        <v>43068.5</v>
      </c>
      <c r="C50" s="25" t="s">
        <v>96</v>
      </c>
      <c r="D50" s="25" t="s">
        <v>96</v>
      </c>
      <c r="E50" s="25" t="s">
        <v>96</v>
      </c>
      <c r="F50" s="22">
        <v>8.24</v>
      </c>
      <c r="G50" s="25" t="s">
        <v>96</v>
      </c>
      <c r="H50" s="25" t="s">
        <v>96</v>
      </c>
      <c r="I50" s="22">
        <v>0.19</v>
      </c>
      <c r="J50" s="25" t="s">
        <v>96</v>
      </c>
      <c r="K50" s="22">
        <v>3.35</v>
      </c>
      <c r="L50" s="25" t="s">
        <v>96</v>
      </c>
      <c r="M50" s="25" t="s">
        <v>96</v>
      </c>
      <c r="N50" s="25" t="s">
        <v>96</v>
      </c>
      <c r="O50" s="25" t="s">
        <v>96</v>
      </c>
      <c r="P50" s="25" t="s">
        <v>96</v>
      </c>
      <c r="Q50" s="25" t="s">
        <v>96</v>
      </c>
      <c r="R50" s="25" t="s">
        <v>96</v>
      </c>
      <c r="S50" s="25" t="s">
        <v>96</v>
      </c>
      <c r="T50" s="25" t="s">
        <v>96</v>
      </c>
      <c r="U50" s="25" t="s">
        <v>96</v>
      </c>
      <c r="V50" s="25" t="s">
        <v>96</v>
      </c>
      <c r="W50" s="25" t="s">
        <v>96</v>
      </c>
      <c r="X50" s="25" t="s">
        <v>96</v>
      </c>
      <c r="Y50" s="25" t="s">
        <v>96</v>
      </c>
      <c r="Z50" s="25" t="s">
        <v>96</v>
      </c>
      <c r="AA50" s="25" t="s">
        <v>96</v>
      </c>
      <c r="AB50" s="25" t="s">
        <v>96</v>
      </c>
      <c r="AC50" s="25" t="s">
        <v>96</v>
      </c>
      <c r="AD50" s="25" t="s">
        <v>96</v>
      </c>
      <c r="AE50" s="25" t="s">
        <v>96</v>
      </c>
    </row>
    <row r="51" spans="1:31">
      <c r="A51" s="20" t="s">
        <v>19</v>
      </c>
      <c r="B51" s="21">
        <v>43075.5</v>
      </c>
      <c r="C51" s="22">
        <v>0.5</v>
      </c>
      <c r="D51" s="22">
        <v>1260</v>
      </c>
      <c r="E51" s="22">
        <v>747</v>
      </c>
      <c r="F51" s="22">
        <v>8.18</v>
      </c>
      <c r="G51" s="25" t="s">
        <v>96</v>
      </c>
      <c r="H51" s="22">
        <v>1090</v>
      </c>
      <c r="I51" s="22">
        <v>0.16</v>
      </c>
      <c r="J51" s="24">
        <f>0.5* 0.005</f>
        <v>2.5000000000000001E-3</v>
      </c>
      <c r="K51" s="22">
        <v>3.41</v>
      </c>
      <c r="L51" s="25" t="s">
        <v>96</v>
      </c>
      <c r="M51" s="22">
        <v>607</v>
      </c>
      <c r="N51" s="72">
        <f t="shared" si="0"/>
        <v>0</v>
      </c>
      <c r="O51" s="24">
        <f>0.5* 0.005</f>
        <v>2.5000000000000001E-3</v>
      </c>
      <c r="P51" s="24">
        <f>0.5* 0.005</f>
        <v>2.5000000000000001E-3</v>
      </c>
      <c r="Q51" s="24">
        <f>0.5* 0.5</f>
        <v>0.25</v>
      </c>
      <c r="R51" s="25" t="s">
        <v>96</v>
      </c>
      <c r="S51" s="25" t="s">
        <v>96</v>
      </c>
      <c r="T51" s="25" t="s">
        <v>96</v>
      </c>
      <c r="U51" s="25" t="s">
        <v>96</v>
      </c>
      <c r="V51" s="25" t="s">
        <v>96</v>
      </c>
      <c r="W51" s="25" t="s">
        <v>96</v>
      </c>
      <c r="X51" s="25" t="s">
        <v>96</v>
      </c>
      <c r="Y51" s="25" t="s">
        <v>96</v>
      </c>
      <c r="Z51" s="25" t="s">
        <v>96</v>
      </c>
      <c r="AA51" s="22">
        <v>1.46E-2</v>
      </c>
      <c r="AB51" s="22">
        <v>6.3800000000000003E-3</v>
      </c>
      <c r="AC51" s="22">
        <v>5.6999999999999998E-4</v>
      </c>
      <c r="AD51" s="24">
        <f>0.5* 0.01</f>
        <v>5.0000000000000001E-3</v>
      </c>
      <c r="AE51" s="24">
        <f>0.5* 0.001</f>
        <v>5.0000000000000001E-4</v>
      </c>
    </row>
    <row r="52" spans="1:31">
      <c r="A52" s="20" t="s">
        <v>19</v>
      </c>
      <c r="B52" s="21">
        <v>43082.5</v>
      </c>
      <c r="C52" s="25" t="s">
        <v>96</v>
      </c>
      <c r="D52" s="25" t="s">
        <v>96</v>
      </c>
      <c r="E52" s="25" t="s">
        <v>96</v>
      </c>
      <c r="F52" s="22">
        <v>8.24</v>
      </c>
      <c r="G52" s="25" t="s">
        <v>96</v>
      </c>
      <c r="H52" s="25" t="s">
        <v>96</v>
      </c>
      <c r="I52" s="22">
        <v>0.13</v>
      </c>
      <c r="J52" s="25" t="s">
        <v>96</v>
      </c>
      <c r="K52" s="22">
        <v>3.45</v>
      </c>
      <c r="L52" s="25" t="s">
        <v>96</v>
      </c>
      <c r="M52" s="25" t="s">
        <v>96</v>
      </c>
      <c r="N52" s="25" t="s">
        <v>96</v>
      </c>
      <c r="O52" s="25" t="s">
        <v>96</v>
      </c>
      <c r="P52" s="25" t="s">
        <v>96</v>
      </c>
      <c r="Q52" s="25" t="s">
        <v>96</v>
      </c>
      <c r="R52" s="25" t="s">
        <v>96</v>
      </c>
      <c r="S52" s="25" t="s">
        <v>96</v>
      </c>
      <c r="T52" s="25" t="s">
        <v>96</v>
      </c>
      <c r="U52" s="25" t="s">
        <v>96</v>
      </c>
      <c r="V52" s="25" t="s">
        <v>96</v>
      </c>
      <c r="W52" s="25" t="s">
        <v>96</v>
      </c>
      <c r="X52" s="25" t="s">
        <v>96</v>
      </c>
      <c r="Y52" s="25" t="s">
        <v>96</v>
      </c>
      <c r="Z52" s="25" t="s">
        <v>96</v>
      </c>
      <c r="AA52" s="25" t="s">
        <v>96</v>
      </c>
      <c r="AB52" s="25" t="s">
        <v>96</v>
      </c>
      <c r="AC52" s="25" t="s">
        <v>96</v>
      </c>
      <c r="AD52" s="25" t="s">
        <v>96</v>
      </c>
      <c r="AE52" s="25" t="s">
        <v>96</v>
      </c>
    </row>
    <row r="53" spans="1:31">
      <c r="A53" s="20" t="s">
        <v>19</v>
      </c>
      <c r="B53" s="21">
        <v>43089</v>
      </c>
      <c r="C53" s="22">
        <v>-0.1</v>
      </c>
      <c r="D53" s="22">
        <v>683</v>
      </c>
      <c r="E53" s="25" t="s">
        <v>96</v>
      </c>
      <c r="F53" s="22">
        <v>8.24</v>
      </c>
      <c r="G53" s="25" t="s">
        <v>96</v>
      </c>
      <c r="H53" s="25" t="s">
        <v>96</v>
      </c>
      <c r="I53" s="22">
        <v>0.16</v>
      </c>
      <c r="J53" s="25" t="s">
        <v>96</v>
      </c>
      <c r="K53" s="22">
        <v>3.45</v>
      </c>
      <c r="L53" s="25" t="s">
        <v>96</v>
      </c>
      <c r="M53" s="25" t="s">
        <v>96</v>
      </c>
      <c r="N53" s="25" t="s">
        <v>96</v>
      </c>
      <c r="O53" s="25" t="s">
        <v>96</v>
      </c>
      <c r="P53" s="25" t="s">
        <v>96</v>
      </c>
      <c r="Q53" s="25" t="s">
        <v>96</v>
      </c>
      <c r="R53" s="25" t="s">
        <v>96</v>
      </c>
      <c r="S53" s="25" t="s">
        <v>96</v>
      </c>
      <c r="T53" s="25" t="s">
        <v>96</v>
      </c>
      <c r="U53" s="25" t="s">
        <v>96</v>
      </c>
      <c r="V53" s="25" t="s">
        <v>96</v>
      </c>
      <c r="W53" s="25" t="s">
        <v>96</v>
      </c>
      <c r="X53" s="25" t="s">
        <v>96</v>
      </c>
      <c r="Y53" s="25" t="s">
        <v>96</v>
      </c>
      <c r="Z53" s="25" t="s">
        <v>96</v>
      </c>
      <c r="AA53" s="25" t="s">
        <v>96</v>
      </c>
      <c r="AB53" s="25" t="s">
        <v>96</v>
      </c>
      <c r="AC53" s="25" t="s">
        <v>96</v>
      </c>
      <c r="AD53" s="25" t="s">
        <v>96</v>
      </c>
      <c r="AE53" s="25" t="s">
        <v>96</v>
      </c>
    </row>
    <row r="54" spans="1:31">
      <c r="A54" s="20" t="s">
        <v>19</v>
      </c>
      <c r="B54" s="21">
        <v>43096.5</v>
      </c>
      <c r="C54" s="25" t="s">
        <v>96</v>
      </c>
      <c r="D54" s="25" t="s">
        <v>96</v>
      </c>
      <c r="E54" s="25" t="s">
        <v>96</v>
      </c>
      <c r="F54" s="22">
        <v>8.15</v>
      </c>
      <c r="G54" s="25" t="s">
        <v>96</v>
      </c>
      <c r="H54" s="25" t="s">
        <v>96</v>
      </c>
      <c r="I54" s="22">
        <v>10.5</v>
      </c>
      <c r="J54" s="25" t="s">
        <v>96</v>
      </c>
      <c r="K54" s="22">
        <v>3.5</v>
      </c>
      <c r="L54" s="25" t="s">
        <v>96</v>
      </c>
      <c r="M54" s="25" t="s">
        <v>96</v>
      </c>
      <c r="N54" s="25" t="s">
        <v>96</v>
      </c>
      <c r="O54" s="25" t="s">
        <v>96</v>
      </c>
      <c r="P54" s="25" t="s">
        <v>96</v>
      </c>
      <c r="Q54" s="25" t="s">
        <v>96</v>
      </c>
      <c r="R54" s="25" t="s">
        <v>96</v>
      </c>
      <c r="S54" s="25" t="s">
        <v>96</v>
      </c>
      <c r="T54" s="25" t="s">
        <v>96</v>
      </c>
      <c r="U54" s="25" t="s">
        <v>96</v>
      </c>
      <c r="V54" s="25" t="s">
        <v>96</v>
      </c>
      <c r="W54" s="25" t="s">
        <v>96</v>
      </c>
      <c r="X54" s="25" t="s">
        <v>96</v>
      </c>
      <c r="Y54" s="25" t="s">
        <v>96</v>
      </c>
      <c r="Z54" s="25" t="s">
        <v>96</v>
      </c>
      <c r="AA54" s="25" t="s">
        <v>96</v>
      </c>
      <c r="AB54" s="25" t="s">
        <v>96</v>
      </c>
      <c r="AC54" s="25" t="s">
        <v>96</v>
      </c>
      <c r="AD54" s="25" t="s">
        <v>96</v>
      </c>
      <c r="AE54" s="25" t="s">
        <v>96</v>
      </c>
    </row>
    <row r="55" spans="1:31">
      <c r="A55" s="14"/>
      <c r="B55" s="15" t="s">
        <v>100</v>
      </c>
      <c r="C55" s="118">
        <f t="shared" ref="C55:AE55" si="1">MIN(C2:C54)</f>
        <v>-0.6</v>
      </c>
      <c r="D55" s="29">
        <f t="shared" si="1"/>
        <v>683</v>
      </c>
      <c r="E55" s="30">
        <f t="shared" si="1"/>
        <v>666</v>
      </c>
      <c r="F55" s="30">
        <f t="shared" si="1"/>
        <v>8.15</v>
      </c>
      <c r="G55" s="29">
        <f t="shared" si="1"/>
        <v>1.5</v>
      </c>
      <c r="H55" s="16">
        <f t="shared" si="1"/>
        <v>896</v>
      </c>
      <c r="I55" s="30">
        <f t="shared" si="1"/>
        <v>0.12</v>
      </c>
      <c r="J55" s="31">
        <f t="shared" si="1"/>
        <v>2.5000000000000001E-3</v>
      </c>
      <c r="K55" s="31">
        <f t="shared" si="1"/>
        <v>0.95899999999999996</v>
      </c>
      <c r="L55" s="31">
        <f t="shared" si="1"/>
        <v>2.5000000000000001E-3</v>
      </c>
      <c r="M55" s="30">
        <f t="shared" si="1"/>
        <v>170</v>
      </c>
      <c r="N55" s="64">
        <f t="shared" si="1"/>
        <v>-1.0000000000000026E-4</v>
      </c>
      <c r="O55" s="31">
        <f t="shared" si="1"/>
        <v>2.5000000000000001E-3</v>
      </c>
      <c r="P55" s="31">
        <f t="shared" si="1"/>
        <v>2.3999999999999998E-3</v>
      </c>
      <c r="Q55" s="30">
        <f t="shared" si="1"/>
        <v>0.25</v>
      </c>
      <c r="R55" s="31">
        <f t="shared" si="1"/>
        <v>1.2999999999999999E-2</v>
      </c>
      <c r="S55" s="40">
        <f t="shared" si="1"/>
        <v>1E-4</v>
      </c>
      <c r="T55" s="39">
        <f t="shared" si="1"/>
        <v>3.0899999999999999E-3</v>
      </c>
      <c r="U55" s="39">
        <f t="shared" si="1"/>
        <v>2.5000000000000001E-5</v>
      </c>
      <c r="V55" s="40">
        <f t="shared" si="1"/>
        <v>2.5000000000000002E-6</v>
      </c>
      <c r="W55" s="39">
        <f t="shared" si="1"/>
        <v>4.9300000000000004E-3</v>
      </c>
      <c r="X55" s="39">
        <f t="shared" si="1"/>
        <v>1.43E-2</v>
      </c>
      <c r="Y55" s="40">
        <f t="shared" si="1"/>
        <v>2.5000000000000002E-6</v>
      </c>
      <c r="Z55" s="38">
        <f t="shared" si="1"/>
        <v>9.2000000000000003E-4</v>
      </c>
      <c r="AA55" s="38">
        <f t="shared" si="1"/>
        <v>1.23E-2</v>
      </c>
      <c r="AB55" s="40">
        <f t="shared" si="1"/>
        <v>1.2999999999999999E-3</v>
      </c>
      <c r="AC55" s="38">
        <f t="shared" si="1"/>
        <v>5.0000000000000001E-4</v>
      </c>
      <c r="AD55" s="31">
        <f t="shared" si="1"/>
        <v>5.0000000000000001E-4</v>
      </c>
      <c r="AE55" s="38">
        <f t="shared" si="1"/>
        <v>2.5000000000000001E-4</v>
      </c>
    </row>
    <row r="56" spans="1:31">
      <c r="A56" s="14"/>
      <c r="B56" s="15" t="s">
        <v>101</v>
      </c>
      <c r="C56" s="29">
        <f t="shared" ref="C56:AE56" si="2">MAX(C2:C54)</f>
        <v>7.2</v>
      </c>
      <c r="D56" s="29">
        <f t="shared" si="2"/>
        <v>1290</v>
      </c>
      <c r="E56" s="30">
        <f t="shared" si="2"/>
        <v>822</v>
      </c>
      <c r="F56" s="30">
        <f t="shared" si="2"/>
        <v>8.33</v>
      </c>
      <c r="G56" s="29">
        <f t="shared" si="2"/>
        <v>20.100000000000001</v>
      </c>
      <c r="H56" s="16">
        <f t="shared" si="2"/>
        <v>1120</v>
      </c>
      <c r="I56" s="30">
        <f t="shared" si="2"/>
        <v>10.5</v>
      </c>
      <c r="J56" s="31">
        <f t="shared" si="2"/>
        <v>2.5000000000000001E-3</v>
      </c>
      <c r="K56" s="31">
        <f t="shared" si="2"/>
        <v>4.84</v>
      </c>
      <c r="L56" s="31">
        <f t="shared" si="2"/>
        <v>2.5000000000000001E-3</v>
      </c>
      <c r="M56" s="30">
        <f t="shared" si="2"/>
        <v>615</v>
      </c>
      <c r="N56" s="64">
        <f t="shared" si="2"/>
        <v>0</v>
      </c>
      <c r="O56" s="31">
        <f t="shared" si="2"/>
        <v>2.5000000000000001E-3</v>
      </c>
      <c r="P56" s="31">
        <f t="shared" si="2"/>
        <v>2.5000000000000001E-3</v>
      </c>
      <c r="Q56" s="30">
        <f t="shared" si="2"/>
        <v>0.25</v>
      </c>
      <c r="R56" s="31">
        <f t="shared" si="2"/>
        <v>1.44E-2</v>
      </c>
      <c r="S56" s="40">
        <f t="shared" si="2"/>
        <v>1.16E-4</v>
      </c>
      <c r="T56" s="39">
        <f t="shared" si="2"/>
        <v>7.6E-3</v>
      </c>
      <c r="U56" s="39">
        <f t="shared" si="2"/>
        <v>3.0000000000000001E-5</v>
      </c>
      <c r="V56" s="40">
        <f t="shared" si="2"/>
        <v>2.5000000000000002E-6</v>
      </c>
      <c r="W56" s="39">
        <f t="shared" si="2"/>
        <v>1.26E-2</v>
      </c>
      <c r="X56" s="39">
        <f t="shared" si="2"/>
        <v>1.6799999999999999E-2</v>
      </c>
      <c r="Y56" s="40">
        <f t="shared" si="2"/>
        <v>5.0000000000000004E-6</v>
      </c>
      <c r="Z56" s="38">
        <f t="shared" si="2"/>
        <v>1.5E-3</v>
      </c>
      <c r="AA56" s="38">
        <f t="shared" si="2"/>
        <v>1.55E-2</v>
      </c>
      <c r="AB56" s="40">
        <f t="shared" si="2"/>
        <v>7.6299999999999996E-3</v>
      </c>
      <c r="AC56" s="38">
        <f t="shared" si="2"/>
        <v>7.2999999999999996E-4</v>
      </c>
      <c r="AD56" s="31">
        <f t="shared" si="2"/>
        <v>1.4999999999999999E-2</v>
      </c>
      <c r="AE56" s="38">
        <f t="shared" si="2"/>
        <v>6.0999999999999997E-4</v>
      </c>
    </row>
    <row r="57" spans="1:31">
      <c r="A57" s="14"/>
      <c r="B57" s="15" t="s">
        <v>102</v>
      </c>
      <c r="C57" s="29">
        <f t="shared" ref="C57:AE57" si="3">AVERAGE(C2:C54)</f>
        <v>2.8200000000000003</v>
      </c>
      <c r="D57" s="29">
        <f t="shared" si="3"/>
        <v>1191</v>
      </c>
      <c r="E57" s="30">
        <f t="shared" si="3"/>
        <v>749.16666666666663</v>
      </c>
      <c r="F57" s="30">
        <f t="shared" si="3"/>
        <v>8.2433333333333358</v>
      </c>
      <c r="G57" s="29">
        <f t="shared" si="3"/>
        <v>5.7166666666666659</v>
      </c>
      <c r="H57" s="16">
        <f t="shared" si="3"/>
        <v>1047</v>
      </c>
      <c r="I57" s="30">
        <f t="shared" si="3"/>
        <v>0.4984615384615384</v>
      </c>
      <c r="J57" s="31">
        <f t="shared" si="3"/>
        <v>2.4999999999999996E-3</v>
      </c>
      <c r="K57" s="31">
        <f t="shared" si="3"/>
        <v>3.3805576923076908</v>
      </c>
      <c r="L57" s="31">
        <f t="shared" si="3"/>
        <v>2.5000000000000001E-3</v>
      </c>
      <c r="M57" s="30">
        <f t="shared" si="3"/>
        <v>550.61538461538464</v>
      </c>
      <c r="N57" s="64">
        <f t="shared" si="3"/>
        <v>-7.6923076923077122E-6</v>
      </c>
      <c r="O57" s="31">
        <f t="shared" si="3"/>
        <v>2.4999999999999996E-3</v>
      </c>
      <c r="P57" s="31">
        <f t="shared" si="3"/>
        <v>2.4923076923076921E-3</v>
      </c>
      <c r="Q57" s="30">
        <f t="shared" si="3"/>
        <v>0.25</v>
      </c>
      <c r="R57" s="31">
        <f t="shared" si="3"/>
        <v>1.3920000000000002E-2</v>
      </c>
      <c r="S57" s="40">
        <f t="shared" si="3"/>
        <v>1.0559999999999999E-4</v>
      </c>
      <c r="T57" s="39">
        <f t="shared" si="3"/>
        <v>6.0099999999999997E-3</v>
      </c>
      <c r="U57" s="39">
        <f t="shared" si="3"/>
        <v>2.6000000000000002E-5</v>
      </c>
      <c r="V57" s="40">
        <f t="shared" si="3"/>
        <v>2.5000000000000002E-6</v>
      </c>
      <c r="W57" s="39">
        <f t="shared" si="3"/>
        <v>7.6639999999999998E-3</v>
      </c>
      <c r="X57" s="39">
        <f t="shared" si="3"/>
        <v>1.5879999999999998E-2</v>
      </c>
      <c r="Y57" s="40">
        <f t="shared" si="3"/>
        <v>4.5000000000000001E-6</v>
      </c>
      <c r="Z57" s="38">
        <f t="shared" si="3"/>
        <v>1.3839999999999998E-3</v>
      </c>
      <c r="AA57" s="38">
        <f t="shared" si="3"/>
        <v>1.4169230769230769E-2</v>
      </c>
      <c r="AB57" s="40">
        <f t="shared" si="3"/>
        <v>5.5123076923076922E-3</v>
      </c>
      <c r="AC57" s="38">
        <f t="shared" si="3"/>
        <v>5.823076923076923E-4</v>
      </c>
      <c r="AD57" s="31">
        <f t="shared" si="3"/>
        <v>5.0769230769230761E-3</v>
      </c>
      <c r="AE57" s="38">
        <f t="shared" si="3"/>
        <v>4.8923076923076936E-4</v>
      </c>
    </row>
    <row r="58" spans="1:31">
      <c r="A58" s="14"/>
      <c r="B58" s="15" t="s">
        <v>103</v>
      </c>
      <c r="C58" s="29">
        <f t="shared" ref="C58:AE58" si="4">_xlfn.STDEV.P(C2:C54)</f>
        <v>2.3720455307603183</v>
      </c>
      <c r="D58" s="29">
        <f t="shared" si="4"/>
        <v>150.03486774234028</v>
      </c>
      <c r="E58" s="30">
        <f t="shared" si="4"/>
        <v>38.911937614167826</v>
      </c>
      <c r="F58" s="30">
        <f t="shared" si="4"/>
        <v>4.3076159944400165E-2</v>
      </c>
      <c r="G58" s="29">
        <f t="shared" si="4"/>
        <v>6.5208426517505309</v>
      </c>
      <c r="H58" s="16">
        <f t="shared" si="4"/>
        <v>60.061506935678992</v>
      </c>
      <c r="I58" s="30">
        <f t="shared" si="4"/>
        <v>1.4486258536645429</v>
      </c>
      <c r="J58" s="31">
        <f t="shared" si="4"/>
        <v>4.3368086899420177E-19</v>
      </c>
      <c r="K58" s="31">
        <f t="shared" si="4"/>
        <v>0.45732341751769945</v>
      </c>
      <c r="L58" s="31">
        <f t="shared" si="4"/>
        <v>0</v>
      </c>
      <c r="M58" s="30">
        <f t="shared" si="4"/>
        <v>113.01500136063521</v>
      </c>
      <c r="N58" s="64">
        <f t="shared" si="4"/>
        <v>2.6646935501059717E-5</v>
      </c>
      <c r="O58" s="31">
        <f t="shared" si="4"/>
        <v>4.3368086899420177E-19</v>
      </c>
      <c r="P58" s="31">
        <f t="shared" si="4"/>
        <v>2.6646935501059721E-5</v>
      </c>
      <c r="Q58" s="30">
        <f t="shared" si="4"/>
        <v>0</v>
      </c>
      <c r="R58" s="31">
        <f t="shared" si="4"/>
        <v>4.9959983987187223E-4</v>
      </c>
      <c r="S58" s="40">
        <f t="shared" si="4"/>
        <v>5.8855755878248632E-6</v>
      </c>
      <c r="T58" s="39">
        <f t="shared" si="4"/>
        <v>1.5318877243453582E-3</v>
      </c>
      <c r="U58" s="39">
        <f t="shared" si="4"/>
        <v>1.9999999999999995E-6</v>
      </c>
      <c r="V58" s="40">
        <f t="shared" si="4"/>
        <v>0</v>
      </c>
      <c r="W58" s="39">
        <f t="shared" si="4"/>
        <v>2.7161192904583556E-3</v>
      </c>
      <c r="X58" s="39">
        <f t="shared" si="4"/>
        <v>9.2390475699608726E-4</v>
      </c>
      <c r="Y58" s="40">
        <f t="shared" si="4"/>
        <v>9.9999999999999995E-7</v>
      </c>
      <c r="Z58" s="38">
        <f t="shared" si="4"/>
        <v>2.3200000000000003E-4</v>
      </c>
      <c r="AA58" s="38">
        <f t="shared" si="4"/>
        <v>8.9561720478940822E-4</v>
      </c>
      <c r="AB58" s="40">
        <f t="shared" si="4"/>
        <v>1.7208636197075977E-3</v>
      </c>
      <c r="AC58" s="38">
        <f t="shared" si="4"/>
        <v>7.1484677879931938E-5</v>
      </c>
      <c r="AD58" s="31">
        <f t="shared" si="4"/>
        <v>3.2866054140905034E-3</v>
      </c>
      <c r="AE58" s="38">
        <f t="shared" si="4"/>
        <v>7.4983232839752873E-5</v>
      </c>
    </row>
    <row r="59" spans="1:31" ht="12.75" customHeight="1">
      <c r="A59" s="17"/>
      <c r="B59" s="131" t="s">
        <v>112</v>
      </c>
      <c r="C59" s="130"/>
      <c r="D59" s="130"/>
      <c r="E59" s="130"/>
      <c r="F59" s="130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30"/>
      <c r="W59" s="130"/>
      <c r="X59" s="130"/>
      <c r="Y59" s="130"/>
      <c r="Z59" s="130"/>
      <c r="AA59" s="130"/>
      <c r="AB59" s="130"/>
      <c r="AC59" s="130"/>
      <c r="AD59" s="130"/>
      <c r="AE59" s="130"/>
    </row>
    <row r="60" spans="1:31" ht="12.75" customHeight="1">
      <c r="A60" s="17"/>
      <c r="B60" s="130" t="s">
        <v>117</v>
      </c>
      <c r="C60" s="130"/>
      <c r="D60" s="130"/>
      <c r="E60" s="130"/>
      <c r="F60" s="130"/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30"/>
      <c r="W60" s="130"/>
      <c r="X60" s="130"/>
      <c r="Y60" s="130"/>
      <c r="Z60" s="130"/>
      <c r="AA60" s="130"/>
      <c r="AB60" s="130"/>
      <c r="AC60" s="130"/>
      <c r="AD60" s="130"/>
      <c r="AE60" s="130"/>
    </row>
    <row r="61" spans="1:31" ht="12.75" customHeight="1">
      <c r="A61" s="17"/>
      <c r="B61" s="130" t="s">
        <v>114</v>
      </c>
      <c r="C61" s="130"/>
      <c r="D61" s="130"/>
      <c r="E61" s="130"/>
      <c r="F61" s="130"/>
      <c r="G61" s="130"/>
      <c r="H61" s="130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30"/>
      <c r="W61" s="130"/>
      <c r="X61" s="130"/>
      <c r="Y61" s="130"/>
      <c r="Z61" s="130"/>
      <c r="AA61" s="130"/>
      <c r="AB61" s="130"/>
      <c r="AC61" s="130"/>
      <c r="AD61" s="130"/>
      <c r="AE61" s="130"/>
    </row>
    <row r="62" spans="1:31" ht="12.75" customHeight="1">
      <c r="A62" s="17"/>
      <c r="B62" s="130" t="s">
        <v>108</v>
      </c>
      <c r="C62" s="130"/>
      <c r="D62" s="130"/>
      <c r="E62" s="130"/>
      <c r="F62" s="130"/>
      <c r="G62" s="130"/>
      <c r="H62" s="130"/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</row>
    <row r="63" spans="1:31" ht="12.75" customHeight="1">
      <c r="A63" s="18"/>
      <c r="B63" s="130" t="s">
        <v>111</v>
      </c>
      <c r="C63" s="130"/>
      <c r="D63" s="130"/>
      <c r="E63" s="130"/>
      <c r="F63" s="130"/>
      <c r="G63" s="130"/>
      <c r="H63" s="130"/>
      <c r="I63" s="130"/>
      <c r="J63" s="130"/>
      <c r="K63" s="130"/>
      <c r="L63" s="130"/>
      <c r="M63" s="130"/>
      <c r="N63" s="130"/>
      <c r="O63" s="130"/>
      <c r="P63" s="130"/>
      <c r="Q63" s="130"/>
      <c r="R63" s="130"/>
      <c r="S63" s="130"/>
      <c r="T63" s="130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</row>
    <row r="64" spans="1:31" ht="12.75" customHeight="1"/>
  </sheetData>
  <mergeCells count="5">
    <mergeCell ref="B63:AE63"/>
    <mergeCell ref="B59:AE59"/>
    <mergeCell ref="B60:AE60"/>
    <mergeCell ref="B61:AE61"/>
    <mergeCell ref="B62:AE62"/>
  </mergeCells>
  <printOptions horizontalCentered="1"/>
  <pageMargins left="0.25" right="0.25" top="1.0833333333333299" bottom="0.75" header="0.3" footer="0.3"/>
  <pageSetup orientation="portrait" r:id="rId1"/>
  <headerFooter alignWithMargins="0">
    <oddHeader>&amp;LBarrick Gold Inc. - Nickel Plate Mine&amp;C&amp;"-,Regular"&amp;18
Table 17 - NPM CREEK (E206633) Data&amp;RAnnual Report, 2017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T52"/>
  <sheetViews>
    <sheetView topLeftCell="A2" zoomScaleNormal="100" workbookViewId="0">
      <selection activeCell="B33" sqref="B33"/>
    </sheetView>
  </sheetViews>
  <sheetFormatPr defaultColWidth="9.1328125" defaultRowHeight="15.75"/>
  <cols>
    <col min="1" max="1" width="4.3984375" style="19" bestFit="1" customWidth="1"/>
    <col min="2" max="2" width="11" style="23" bestFit="1" customWidth="1"/>
    <col min="3" max="3" width="9.73046875" style="19" bestFit="1" customWidth="1"/>
    <col min="4" max="5" width="6.86328125" style="89" bestFit="1" customWidth="1"/>
    <col min="6" max="7" width="5.73046875" style="19" bestFit="1" customWidth="1"/>
    <col min="8" max="8" width="9.1328125" style="19" bestFit="1" customWidth="1"/>
    <col min="9" max="9" width="9.73046875" style="19" bestFit="1" customWidth="1"/>
    <col min="10" max="10" width="7.265625" style="74" bestFit="1" customWidth="1"/>
    <col min="11" max="12" width="8.1328125" style="19" bestFit="1" customWidth="1"/>
    <col min="13" max="13" width="9.73046875" style="19" bestFit="1" customWidth="1"/>
    <col min="14" max="14" width="5.73046875" style="87" bestFit="1" customWidth="1"/>
    <col min="15" max="15" width="9.265625" style="19" bestFit="1" customWidth="1"/>
    <col min="16" max="16" width="8" style="19" bestFit="1" customWidth="1"/>
    <col min="17" max="17" width="9.1328125" style="19"/>
    <col min="18" max="18" width="11.265625" style="19" bestFit="1" customWidth="1"/>
    <col min="19" max="19" width="11.3984375" style="19" bestFit="1" customWidth="1"/>
    <col min="20" max="20" width="9.1328125" style="120"/>
    <col min="21" max="16384" width="9.1328125" style="19"/>
  </cols>
  <sheetData>
    <row r="1" spans="1:16" ht="132">
      <c r="A1" s="1" t="s">
        <v>45</v>
      </c>
      <c r="B1" s="2" t="s">
        <v>46</v>
      </c>
      <c r="C1" s="4" t="s">
        <v>49</v>
      </c>
      <c r="D1" s="71" t="s">
        <v>51</v>
      </c>
      <c r="E1" s="71" t="s">
        <v>0</v>
      </c>
      <c r="F1" s="4" t="s">
        <v>52</v>
      </c>
      <c r="G1" s="5" t="s">
        <v>56</v>
      </c>
      <c r="H1" s="7" t="s">
        <v>57</v>
      </c>
      <c r="I1" s="5" t="s">
        <v>59</v>
      </c>
      <c r="J1" s="73" t="s">
        <v>105</v>
      </c>
      <c r="K1" s="7" t="s">
        <v>60</v>
      </c>
      <c r="L1" s="7" t="s">
        <v>61</v>
      </c>
      <c r="M1" s="4" t="s">
        <v>62</v>
      </c>
      <c r="N1" s="4" t="s">
        <v>85</v>
      </c>
      <c r="O1" s="10" t="s">
        <v>86</v>
      </c>
      <c r="P1" s="7" t="s">
        <v>87</v>
      </c>
    </row>
    <row r="2" spans="1:16">
      <c r="A2" s="20" t="s">
        <v>1</v>
      </c>
      <c r="B2" s="21">
        <v>42774.5</v>
      </c>
      <c r="C2" s="119">
        <v>1349.55</v>
      </c>
      <c r="D2" s="88">
        <v>7510</v>
      </c>
      <c r="E2" s="88">
        <v>1730</v>
      </c>
      <c r="F2" s="22">
        <v>7.8</v>
      </c>
      <c r="G2" s="22">
        <v>30.8</v>
      </c>
      <c r="H2" s="24">
        <f>0.5* 0.25</f>
        <v>0.125</v>
      </c>
      <c r="I2" s="22">
        <v>2890</v>
      </c>
      <c r="J2" s="72">
        <f>L2-K2</f>
        <v>1.427</v>
      </c>
      <c r="K2" s="22">
        <v>4.2999999999999997E-2</v>
      </c>
      <c r="L2" s="22">
        <v>1.47</v>
      </c>
      <c r="M2" s="22">
        <v>1490</v>
      </c>
      <c r="N2" s="86">
        <v>3.15</v>
      </c>
      <c r="O2" s="22">
        <v>1.1000000000000001E-3</v>
      </c>
      <c r="P2" s="22">
        <v>4.3099999999999999E-2</v>
      </c>
    </row>
    <row r="3" spans="1:16">
      <c r="A3" s="20" t="s">
        <v>1</v>
      </c>
      <c r="B3" s="21">
        <v>42872.5</v>
      </c>
      <c r="C3" s="119" t="s">
        <v>96</v>
      </c>
      <c r="D3" s="88">
        <v>7760</v>
      </c>
      <c r="E3" s="88">
        <v>1880</v>
      </c>
      <c r="F3" s="22">
        <v>7.59</v>
      </c>
      <c r="G3" s="22">
        <v>40.200000000000003</v>
      </c>
      <c r="H3" s="24">
        <f>0.5* 0.25</f>
        <v>0.125</v>
      </c>
      <c r="I3" s="22">
        <v>2980</v>
      </c>
      <c r="J3" s="72">
        <f t="shared" ref="J3:J6" si="0">L3-K3</f>
        <v>1.66</v>
      </c>
      <c r="K3" s="24">
        <f>0.5* 0.1</f>
        <v>0.05</v>
      </c>
      <c r="L3" s="22">
        <v>1.71</v>
      </c>
      <c r="M3" s="22">
        <v>1400</v>
      </c>
      <c r="N3" s="86">
        <v>3.87</v>
      </c>
      <c r="O3" s="22">
        <v>2.0999999999999999E-3</v>
      </c>
      <c r="P3" s="22">
        <v>6.3E-2</v>
      </c>
    </row>
    <row r="4" spans="1:16">
      <c r="A4" s="20" t="s">
        <v>1</v>
      </c>
      <c r="B4" s="21">
        <v>42935.5</v>
      </c>
      <c r="C4" s="119">
        <v>1349.61</v>
      </c>
      <c r="D4" s="22">
        <v>7560</v>
      </c>
      <c r="E4" s="88">
        <v>1850</v>
      </c>
      <c r="F4" s="22">
        <v>7.79</v>
      </c>
      <c r="G4" s="22">
        <v>33.9</v>
      </c>
      <c r="H4" s="24">
        <f>0.5* 0.25</f>
        <v>0.125</v>
      </c>
      <c r="I4" s="22">
        <v>2910</v>
      </c>
      <c r="J4" s="72">
        <f t="shared" si="0"/>
        <v>1.32</v>
      </c>
      <c r="K4" s="22">
        <v>0.27</v>
      </c>
      <c r="L4" s="22">
        <v>1.59</v>
      </c>
      <c r="M4" s="22">
        <v>1490</v>
      </c>
      <c r="N4" s="86">
        <v>3.53</v>
      </c>
      <c r="O4" s="22">
        <v>2.8E-3</v>
      </c>
      <c r="P4" s="22">
        <v>5.5E-2</v>
      </c>
    </row>
    <row r="5" spans="1:16">
      <c r="A5" s="20"/>
      <c r="B5" s="113">
        <v>43007</v>
      </c>
      <c r="C5" s="119">
        <v>1349.61</v>
      </c>
      <c r="D5" s="119" t="s">
        <v>96</v>
      </c>
      <c r="E5" s="119" t="s">
        <v>96</v>
      </c>
      <c r="F5" s="119" t="s">
        <v>96</v>
      </c>
      <c r="G5" s="119" t="s">
        <v>96</v>
      </c>
      <c r="H5" s="119" t="s">
        <v>96</v>
      </c>
      <c r="I5" s="119" t="s">
        <v>96</v>
      </c>
      <c r="J5" s="119" t="s">
        <v>96</v>
      </c>
      <c r="K5" s="119" t="s">
        <v>96</v>
      </c>
      <c r="L5" s="119" t="s">
        <v>96</v>
      </c>
      <c r="M5" s="119" t="s">
        <v>96</v>
      </c>
      <c r="N5" s="119" t="s">
        <v>96</v>
      </c>
      <c r="O5" s="119" t="s">
        <v>96</v>
      </c>
      <c r="P5" s="119" t="s">
        <v>96</v>
      </c>
    </row>
    <row r="6" spans="1:16">
      <c r="A6" s="20" t="s">
        <v>1</v>
      </c>
      <c r="B6" s="21">
        <v>43026</v>
      </c>
      <c r="C6" s="119">
        <v>1349.79</v>
      </c>
      <c r="D6" s="22">
        <v>7350</v>
      </c>
      <c r="E6" s="88">
        <v>1520</v>
      </c>
      <c r="F6" s="22">
        <v>7.79</v>
      </c>
      <c r="G6" s="22">
        <v>40.4</v>
      </c>
      <c r="H6" s="24">
        <f>0.5* 0.25</f>
        <v>0.125</v>
      </c>
      <c r="I6" s="22">
        <v>2950</v>
      </c>
      <c r="J6" s="72">
        <f t="shared" si="0"/>
        <v>0.81799999999999995</v>
      </c>
      <c r="K6" s="22">
        <v>3.6999999999999998E-2</v>
      </c>
      <c r="L6" s="22">
        <v>0.85499999999999998</v>
      </c>
      <c r="M6" s="22">
        <v>1470</v>
      </c>
      <c r="N6" s="86">
        <v>3.48</v>
      </c>
      <c r="O6" s="24">
        <f>0.5* 0.001</f>
        <v>5.0000000000000001E-4</v>
      </c>
      <c r="P6" s="24">
        <f>0.5* 0.05</f>
        <v>2.5000000000000001E-2</v>
      </c>
    </row>
    <row r="7" spans="1:16">
      <c r="A7" s="14"/>
      <c r="B7" s="15" t="s">
        <v>100</v>
      </c>
      <c r="C7" s="30">
        <f>MIN(C2:C5)</f>
        <v>1349.55</v>
      </c>
      <c r="D7" s="16">
        <f t="shared" ref="D7:P7" si="1">MIN(D2:D6)</f>
        <v>7350</v>
      </c>
      <c r="E7" s="16">
        <f t="shared" si="1"/>
        <v>1520</v>
      </c>
      <c r="F7" s="30">
        <f t="shared" si="1"/>
        <v>7.59</v>
      </c>
      <c r="G7" s="29">
        <f t="shared" si="1"/>
        <v>30.8</v>
      </c>
      <c r="H7" s="31">
        <f t="shared" si="1"/>
        <v>0.125</v>
      </c>
      <c r="I7" s="30">
        <f t="shared" si="1"/>
        <v>2890</v>
      </c>
      <c r="J7" s="64">
        <f t="shared" si="1"/>
        <v>0.81799999999999995</v>
      </c>
      <c r="K7" s="31">
        <f t="shared" si="1"/>
        <v>3.6999999999999998E-2</v>
      </c>
      <c r="L7" s="31">
        <f t="shared" si="1"/>
        <v>0.85499999999999998</v>
      </c>
      <c r="M7" s="30">
        <f t="shared" si="1"/>
        <v>1400</v>
      </c>
      <c r="N7" s="30">
        <f t="shared" si="1"/>
        <v>3.15</v>
      </c>
      <c r="O7" s="38">
        <f t="shared" si="1"/>
        <v>5.0000000000000001E-4</v>
      </c>
      <c r="P7" s="31">
        <f t="shared" si="1"/>
        <v>2.5000000000000001E-2</v>
      </c>
    </row>
    <row r="8" spans="1:16">
      <c r="A8" s="14"/>
      <c r="B8" s="15" t="s">
        <v>101</v>
      </c>
      <c r="C8" s="30">
        <f>MAX(C2:C5)</f>
        <v>1349.61</v>
      </c>
      <c r="D8" s="16">
        <f t="shared" ref="D8:P8" si="2">MAX(D2:D6)</f>
        <v>7760</v>
      </c>
      <c r="E8" s="16">
        <f t="shared" si="2"/>
        <v>1880</v>
      </c>
      <c r="F8" s="30">
        <f t="shared" si="2"/>
        <v>7.8</v>
      </c>
      <c r="G8" s="29">
        <f t="shared" si="2"/>
        <v>40.4</v>
      </c>
      <c r="H8" s="31">
        <f t="shared" si="2"/>
        <v>0.125</v>
      </c>
      <c r="I8" s="30">
        <f t="shared" si="2"/>
        <v>2980</v>
      </c>
      <c r="J8" s="64">
        <f t="shared" si="2"/>
        <v>1.66</v>
      </c>
      <c r="K8" s="31">
        <f t="shared" si="2"/>
        <v>0.27</v>
      </c>
      <c r="L8" s="31">
        <f t="shared" si="2"/>
        <v>1.71</v>
      </c>
      <c r="M8" s="30">
        <f t="shared" si="2"/>
        <v>1490</v>
      </c>
      <c r="N8" s="30">
        <f t="shared" si="2"/>
        <v>3.87</v>
      </c>
      <c r="O8" s="38">
        <f t="shared" si="2"/>
        <v>2.8E-3</v>
      </c>
      <c r="P8" s="31">
        <f t="shared" si="2"/>
        <v>6.3E-2</v>
      </c>
    </row>
    <row r="9" spans="1:16">
      <c r="A9" s="14"/>
      <c r="B9" s="15" t="s">
        <v>102</v>
      </c>
      <c r="C9" s="30">
        <f>AVERAGE(C2:C5)</f>
        <v>1349.59</v>
      </c>
      <c r="D9" s="16">
        <f t="shared" ref="D9:P9" si="3">AVERAGE(D2:D6)</f>
        <v>7545</v>
      </c>
      <c r="E9" s="16">
        <f t="shared" si="3"/>
        <v>1745</v>
      </c>
      <c r="F9" s="30">
        <f t="shared" si="3"/>
        <v>7.7424999999999997</v>
      </c>
      <c r="G9" s="29">
        <f t="shared" si="3"/>
        <v>36.325000000000003</v>
      </c>
      <c r="H9" s="31">
        <f t="shared" si="3"/>
        <v>0.125</v>
      </c>
      <c r="I9" s="30">
        <f t="shared" si="3"/>
        <v>2932.5</v>
      </c>
      <c r="J9" s="64">
        <f t="shared" si="3"/>
        <v>1.3062499999999999</v>
      </c>
      <c r="K9" s="31">
        <f t="shared" si="3"/>
        <v>9.9999999999999992E-2</v>
      </c>
      <c r="L9" s="31">
        <f t="shared" si="3"/>
        <v>1.40625</v>
      </c>
      <c r="M9" s="30">
        <f t="shared" si="3"/>
        <v>1462.5</v>
      </c>
      <c r="N9" s="30">
        <f t="shared" si="3"/>
        <v>3.5074999999999998</v>
      </c>
      <c r="O9" s="38">
        <f t="shared" si="3"/>
        <v>1.6250000000000001E-3</v>
      </c>
      <c r="P9" s="31">
        <f t="shared" si="3"/>
        <v>4.6524999999999997E-2</v>
      </c>
    </row>
    <row r="10" spans="1:16">
      <c r="A10" s="14"/>
      <c r="B10" s="15" t="s">
        <v>103</v>
      </c>
      <c r="C10" s="30">
        <f>_xlfn.STDEV.P(C2:C5)</f>
        <v>2.8284271247436175E-2</v>
      </c>
      <c r="D10" s="16">
        <f t="shared" ref="D10:P10" si="4">_xlfn.STDEV.P(D2:D6)</f>
        <v>146.37281168304446</v>
      </c>
      <c r="E10" s="16">
        <f t="shared" si="4"/>
        <v>141.50971698084905</v>
      </c>
      <c r="F10" s="30">
        <f t="shared" si="4"/>
        <v>8.8140512819021008E-2</v>
      </c>
      <c r="G10" s="29">
        <f t="shared" si="4"/>
        <v>4.1239392575545786</v>
      </c>
      <c r="H10" s="31">
        <f t="shared" si="4"/>
        <v>0</v>
      </c>
      <c r="I10" s="30">
        <f t="shared" si="4"/>
        <v>34.910600109422354</v>
      </c>
      <c r="J10" s="64">
        <f t="shared" si="4"/>
        <v>0.30752916528355506</v>
      </c>
      <c r="K10" s="31">
        <f t="shared" si="4"/>
        <v>9.8257315249298371E-2</v>
      </c>
      <c r="L10" s="31">
        <f t="shared" si="4"/>
        <v>0.329381522705813</v>
      </c>
      <c r="M10" s="30">
        <f t="shared" si="4"/>
        <v>36.996621467371853</v>
      </c>
      <c r="N10" s="30">
        <f t="shared" si="4"/>
        <v>0.25518375732009285</v>
      </c>
      <c r="O10" s="38">
        <f t="shared" si="4"/>
        <v>8.8705974996050856E-4</v>
      </c>
      <c r="P10" s="31">
        <f t="shared" si="4"/>
        <v>1.4303037264860919E-2</v>
      </c>
    </row>
    <row r="11" spans="1:16" ht="12.75" customHeight="1">
      <c r="A11" s="17"/>
      <c r="B11" s="131" t="s">
        <v>112</v>
      </c>
      <c r="C11" s="130"/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</row>
    <row r="12" spans="1:16" ht="12.75" customHeight="1">
      <c r="A12" s="17"/>
      <c r="B12" s="130" t="s">
        <v>117</v>
      </c>
      <c r="C12" s="130"/>
      <c r="D12" s="130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</row>
    <row r="13" spans="1:16" ht="12.75" customHeight="1">
      <c r="A13" s="17"/>
      <c r="B13" s="130" t="s">
        <v>114</v>
      </c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</row>
    <row r="14" spans="1:16" ht="12.75" customHeight="1">
      <c r="A14" s="17"/>
      <c r="B14" s="130" t="s">
        <v>108</v>
      </c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</row>
    <row r="15" spans="1:16" ht="12.75" customHeight="1">
      <c r="A15" s="18"/>
      <c r="B15" s="130" t="s">
        <v>115</v>
      </c>
      <c r="C15" s="130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</row>
    <row r="16" spans="1:16" ht="12.75" customHeight="1"/>
    <row r="17" spans="20:20">
      <c r="T17" s="19"/>
    </row>
    <row r="18" spans="20:20">
      <c r="T18" s="19"/>
    </row>
    <row r="19" spans="20:20">
      <c r="T19" s="19"/>
    </row>
    <row r="20" spans="20:20">
      <c r="T20" s="19"/>
    </row>
    <row r="21" spans="20:20">
      <c r="T21" s="19"/>
    </row>
    <row r="22" spans="20:20">
      <c r="T22" s="19"/>
    </row>
    <row r="23" spans="20:20">
      <c r="T23" s="19"/>
    </row>
    <row r="24" spans="20:20">
      <c r="T24" s="19"/>
    </row>
    <row r="25" spans="20:20">
      <c r="T25" s="19"/>
    </row>
    <row r="26" spans="20:20">
      <c r="T26" s="19"/>
    </row>
    <row r="27" spans="20:20" ht="15.75" customHeight="1">
      <c r="T27" s="19"/>
    </row>
    <row r="28" spans="20:20">
      <c r="T28" s="19"/>
    </row>
    <row r="29" spans="20:20">
      <c r="T29" s="19"/>
    </row>
    <row r="30" spans="20:20">
      <c r="T30" s="19"/>
    </row>
    <row r="31" spans="20:20" ht="15.75" customHeight="1">
      <c r="T31" s="19"/>
    </row>
    <row r="32" spans="20:20">
      <c r="T32" s="19"/>
    </row>
    <row r="33" spans="20:20">
      <c r="T33" s="19"/>
    </row>
    <row r="34" spans="20:20">
      <c r="T34" s="19"/>
    </row>
    <row r="35" spans="20:20">
      <c r="T35" s="19"/>
    </row>
    <row r="36" spans="20:20">
      <c r="T36" s="19"/>
    </row>
    <row r="37" spans="20:20">
      <c r="T37" s="19"/>
    </row>
    <row r="38" spans="20:20">
      <c r="T38" s="19"/>
    </row>
    <row r="39" spans="20:20">
      <c r="T39" s="19"/>
    </row>
    <row r="40" spans="20:20">
      <c r="T40" s="19"/>
    </row>
    <row r="41" spans="20:20">
      <c r="T41" s="19"/>
    </row>
    <row r="42" spans="20:20">
      <c r="T42" s="19"/>
    </row>
    <row r="43" spans="20:20">
      <c r="T43" s="19"/>
    </row>
    <row r="44" spans="20:20">
      <c r="T44" s="19"/>
    </row>
    <row r="45" spans="20:20">
      <c r="T45" s="19"/>
    </row>
    <row r="46" spans="20:20">
      <c r="T46" s="19"/>
    </row>
    <row r="47" spans="20:20">
      <c r="T47" s="19"/>
    </row>
    <row r="48" spans="20:20">
      <c r="T48" s="19"/>
    </row>
    <row r="49" spans="20:20">
      <c r="T49" s="19"/>
    </row>
    <row r="50" spans="20:20">
      <c r="T50" s="19"/>
    </row>
    <row r="51" spans="20:20">
      <c r="T51" s="19"/>
    </row>
    <row r="52" spans="20:20">
      <c r="T52" s="19"/>
    </row>
  </sheetData>
  <sortState xmlns:xlrd2="http://schemas.microsoft.com/office/spreadsheetml/2017/richdata2" ref="R2:T35">
    <sortCondition ref="R35"/>
  </sortState>
  <mergeCells count="5">
    <mergeCell ref="B15:P15"/>
    <mergeCell ref="B11:P11"/>
    <mergeCell ref="B12:P12"/>
    <mergeCell ref="B13:P13"/>
    <mergeCell ref="B14:P14"/>
  </mergeCells>
  <printOptions horizontalCentered="1"/>
  <pageMargins left="0.25" right="0.25" top="1.0833333333333299" bottom="0.75" header="0.3" footer="0.3"/>
  <pageSetup orientation="landscape" r:id="rId1"/>
  <headerFooter alignWithMargins="0">
    <oddHeader>&amp;LBarrick Gold Inc. - Nickel Plate Mine&amp;C&amp;"-,Regular"&amp;18
Table 18 - P16 Data&amp;RAnnual Report, 2017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P16"/>
  <sheetViews>
    <sheetView topLeftCell="A2" zoomScaleNormal="100" workbookViewId="0">
      <selection activeCell="B33" sqref="B33"/>
    </sheetView>
  </sheetViews>
  <sheetFormatPr defaultColWidth="9.1328125" defaultRowHeight="15.75"/>
  <cols>
    <col min="1" max="1" width="4.3984375" style="19" customWidth="1"/>
    <col min="2" max="2" width="10.265625" style="23" bestFit="1" customWidth="1"/>
    <col min="3" max="3" width="9.73046875" style="19" bestFit="1" customWidth="1"/>
    <col min="4" max="5" width="6.86328125" style="89" customWidth="1"/>
    <col min="6" max="6" width="5.73046875" style="19" customWidth="1"/>
    <col min="7" max="7" width="9.1328125" style="19" customWidth="1"/>
    <col min="8" max="8" width="8" style="19" bestFit="1" customWidth="1"/>
    <col min="9" max="9" width="9.73046875" style="19" customWidth="1"/>
    <col min="10" max="10" width="7.265625" style="74" customWidth="1"/>
    <col min="11" max="12" width="8" style="19" bestFit="1" customWidth="1"/>
    <col min="13" max="13" width="9.73046875" style="19" customWidth="1"/>
    <col min="14" max="14" width="5.73046875" style="87" customWidth="1"/>
    <col min="15" max="15" width="9.265625" style="19" customWidth="1"/>
    <col min="16" max="16" width="8" style="19" customWidth="1"/>
    <col min="17" max="18" width="9.1328125" style="19"/>
    <col min="19" max="19" width="11.3984375" style="19" bestFit="1" customWidth="1"/>
    <col min="20" max="16384" width="9.1328125" style="19"/>
  </cols>
  <sheetData>
    <row r="1" spans="1:16" ht="132">
      <c r="A1" s="1" t="s">
        <v>45</v>
      </c>
      <c r="B1" s="2" t="s">
        <v>46</v>
      </c>
      <c r="C1" s="4" t="s">
        <v>49</v>
      </c>
      <c r="D1" s="71" t="s">
        <v>51</v>
      </c>
      <c r="E1" s="71" t="s">
        <v>0</v>
      </c>
      <c r="F1" s="4" t="s">
        <v>52</v>
      </c>
      <c r="G1" s="5" t="s">
        <v>56</v>
      </c>
      <c r="H1" s="7" t="s">
        <v>57</v>
      </c>
      <c r="I1" s="5" t="s">
        <v>59</v>
      </c>
      <c r="J1" s="73" t="s">
        <v>105</v>
      </c>
      <c r="K1" s="7" t="s">
        <v>60</v>
      </c>
      <c r="L1" s="7" t="s">
        <v>61</v>
      </c>
      <c r="M1" s="4" t="s">
        <v>62</v>
      </c>
      <c r="N1" s="4" t="s">
        <v>85</v>
      </c>
      <c r="O1" s="10" t="s">
        <v>86</v>
      </c>
      <c r="P1" s="7" t="s">
        <v>87</v>
      </c>
    </row>
    <row r="2" spans="1:16">
      <c r="A2" s="20" t="s">
        <v>36</v>
      </c>
      <c r="B2" s="21">
        <v>42774.5</v>
      </c>
      <c r="C2" s="119">
        <v>1352.383</v>
      </c>
      <c r="D2" s="88">
        <v>7060</v>
      </c>
      <c r="E2" s="88">
        <v>1460</v>
      </c>
      <c r="F2" s="22">
        <v>7.9</v>
      </c>
      <c r="G2" s="22">
        <v>50.4</v>
      </c>
      <c r="H2" s="24">
        <f>0.5* 0.25</f>
        <v>0.125</v>
      </c>
      <c r="I2" s="22">
        <v>2950</v>
      </c>
      <c r="J2" s="72">
        <f t="shared" ref="J2:J6" si="0">L2-K2</f>
        <v>0.99209999999999998</v>
      </c>
      <c r="K2" s="22">
        <v>1.7899999999999999E-2</v>
      </c>
      <c r="L2" s="22">
        <v>1.01</v>
      </c>
      <c r="M2" s="22">
        <v>1210</v>
      </c>
      <c r="N2" s="86">
        <v>1.48</v>
      </c>
      <c r="O2" s="24">
        <f>0.5* 0.0005</f>
        <v>2.5000000000000001E-4</v>
      </c>
      <c r="P2" s="22">
        <v>0.41099999999999998</v>
      </c>
    </row>
    <row r="3" spans="1:16">
      <c r="A3" s="20" t="s">
        <v>36</v>
      </c>
      <c r="B3" s="21">
        <v>42844.5</v>
      </c>
      <c r="C3" s="119" t="s">
        <v>96</v>
      </c>
      <c r="D3" s="88">
        <v>6990</v>
      </c>
      <c r="E3" s="88">
        <v>1520</v>
      </c>
      <c r="F3" s="22">
        <v>7.76</v>
      </c>
      <c r="G3" s="22">
        <v>57.3</v>
      </c>
      <c r="H3" s="24">
        <f>0.5* 0.25</f>
        <v>0.125</v>
      </c>
      <c r="I3" s="22">
        <v>2900</v>
      </c>
      <c r="J3" s="72">
        <f t="shared" si="0"/>
        <v>0.80359999999999998</v>
      </c>
      <c r="K3" s="22">
        <v>3.7400000000000003E-2</v>
      </c>
      <c r="L3" s="22">
        <v>0.84099999999999997</v>
      </c>
      <c r="M3" s="22">
        <v>1080</v>
      </c>
      <c r="N3" s="86">
        <v>1.46</v>
      </c>
      <c r="O3" s="22">
        <v>2.2000000000000001E-3</v>
      </c>
      <c r="P3" s="22">
        <v>7.1999999999999995E-2</v>
      </c>
    </row>
    <row r="4" spans="1:16">
      <c r="A4" s="20" t="s">
        <v>36</v>
      </c>
      <c r="B4" s="21">
        <v>42935.5</v>
      </c>
      <c r="C4" s="119">
        <v>1352.5330000000001</v>
      </c>
      <c r="D4" s="22">
        <v>6930</v>
      </c>
      <c r="E4" s="88">
        <v>1490</v>
      </c>
      <c r="F4" s="22">
        <v>7.78</v>
      </c>
      <c r="G4" s="22">
        <v>57.6</v>
      </c>
      <c r="H4" s="24">
        <f>0.5* 0.25</f>
        <v>0.125</v>
      </c>
      <c r="I4" s="22">
        <v>2900</v>
      </c>
      <c r="J4" s="72">
        <f t="shared" si="0"/>
        <v>0.50360000000000005</v>
      </c>
      <c r="K4" s="22">
        <v>4.7399999999999998E-2</v>
      </c>
      <c r="L4" s="22">
        <v>0.55100000000000005</v>
      </c>
      <c r="M4" s="22">
        <v>1160</v>
      </c>
      <c r="N4" s="86">
        <v>1.48</v>
      </c>
      <c r="O4" s="24">
        <f>0.5* 0.001</f>
        <v>5.0000000000000001E-4</v>
      </c>
      <c r="P4" s="22">
        <v>0.14499999999999999</v>
      </c>
    </row>
    <row r="5" spans="1:16">
      <c r="A5" s="20"/>
      <c r="B5" s="113">
        <v>43007</v>
      </c>
      <c r="C5" s="119">
        <v>1352.5330000000001</v>
      </c>
      <c r="D5" s="119" t="s">
        <v>96</v>
      </c>
      <c r="E5" s="119" t="s">
        <v>96</v>
      </c>
      <c r="F5" s="119" t="s">
        <v>96</v>
      </c>
      <c r="G5" s="119" t="s">
        <v>96</v>
      </c>
      <c r="H5" s="119" t="s">
        <v>96</v>
      </c>
      <c r="I5" s="119" t="s">
        <v>96</v>
      </c>
      <c r="J5" s="119" t="s">
        <v>96</v>
      </c>
      <c r="K5" s="119" t="s">
        <v>96</v>
      </c>
      <c r="L5" s="119" t="s">
        <v>96</v>
      </c>
      <c r="M5" s="119" t="s">
        <v>96</v>
      </c>
      <c r="N5" s="119" t="s">
        <v>96</v>
      </c>
      <c r="O5" s="119" t="s">
        <v>96</v>
      </c>
      <c r="P5" s="119" t="s">
        <v>96</v>
      </c>
    </row>
    <row r="6" spans="1:16">
      <c r="A6" s="20" t="s">
        <v>36</v>
      </c>
      <c r="B6" s="21">
        <v>43026</v>
      </c>
      <c r="C6" s="119">
        <v>1352.393</v>
      </c>
      <c r="D6" s="22">
        <v>6790</v>
      </c>
      <c r="E6" s="88">
        <v>1220</v>
      </c>
      <c r="F6" s="22">
        <v>7.7</v>
      </c>
      <c r="G6" s="22">
        <v>58.9</v>
      </c>
      <c r="H6" s="24">
        <f>0.5* 0.25</f>
        <v>0.125</v>
      </c>
      <c r="I6" s="22">
        <v>3020</v>
      </c>
      <c r="J6" s="72">
        <f t="shared" si="0"/>
        <v>0.49580000000000002</v>
      </c>
      <c r="K6" s="22">
        <v>1.9199999999999998E-2</v>
      </c>
      <c r="L6" s="22">
        <v>0.51500000000000001</v>
      </c>
      <c r="M6" s="22">
        <v>2690</v>
      </c>
      <c r="N6" s="86">
        <v>1.48</v>
      </c>
      <c r="O6" s="24">
        <f>0.5* 0.001</f>
        <v>5.0000000000000001E-4</v>
      </c>
      <c r="P6" s="22">
        <v>2.0299999999999998</v>
      </c>
    </row>
    <row r="7" spans="1:16">
      <c r="A7" s="14"/>
      <c r="B7" s="15" t="s">
        <v>100</v>
      </c>
      <c r="C7" s="30">
        <f>MIN(C2:C5)</f>
        <v>1352.383</v>
      </c>
      <c r="D7" s="16">
        <f t="shared" ref="D7:P7" si="1">MIN(D2:D6)</f>
        <v>6790</v>
      </c>
      <c r="E7" s="16">
        <f t="shared" si="1"/>
        <v>1220</v>
      </c>
      <c r="F7" s="30">
        <f t="shared" si="1"/>
        <v>7.7</v>
      </c>
      <c r="G7" s="31">
        <f t="shared" si="1"/>
        <v>50.4</v>
      </c>
      <c r="H7" s="31">
        <f t="shared" si="1"/>
        <v>0.125</v>
      </c>
      <c r="I7" s="30">
        <f t="shared" si="1"/>
        <v>2900</v>
      </c>
      <c r="J7" s="64">
        <f t="shared" si="1"/>
        <v>0.49580000000000002</v>
      </c>
      <c r="K7" s="31">
        <f t="shared" si="1"/>
        <v>1.7899999999999999E-2</v>
      </c>
      <c r="L7" s="31">
        <f t="shared" si="1"/>
        <v>0.51500000000000001</v>
      </c>
      <c r="M7" s="30">
        <f t="shared" si="1"/>
        <v>1080</v>
      </c>
      <c r="N7" s="30">
        <f t="shared" si="1"/>
        <v>1.46</v>
      </c>
      <c r="O7" s="38">
        <f t="shared" si="1"/>
        <v>2.5000000000000001E-4</v>
      </c>
      <c r="P7" s="31">
        <f t="shared" si="1"/>
        <v>7.1999999999999995E-2</v>
      </c>
    </row>
    <row r="8" spans="1:16">
      <c r="A8" s="14"/>
      <c r="B8" s="15" t="s">
        <v>101</v>
      </c>
      <c r="C8" s="30">
        <f>MAX(C2:C5)</f>
        <v>1352.5330000000001</v>
      </c>
      <c r="D8" s="16">
        <f t="shared" ref="D8:P8" si="2">MAX(D2:D6)</f>
        <v>7060</v>
      </c>
      <c r="E8" s="16">
        <f t="shared" si="2"/>
        <v>1520</v>
      </c>
      <c r="F8" s="30">
        <f t="shared" si="2"/>
        <v>7.9</v>
      </c>
      <c r="G8" s="31">
        <f t="shared" si="2"/>
        <v>58.9</v>
      </c>
      <c r="H8" s="31">
        <f t="shared" si="2"/>
        <v>0.125</v>
      </c>
      <c r="I8" s="30">
        <f t="shared" si="2"/>
        <v>3020</v>
      </c>
      <c r="J8" s="64">
        <f t="shared" si="2"/>
        <v>0.99209999999999998</v>
      </c>
      <c r="K8" s="31">
        <f t="shared" si="2"/>
        <v>4.7399999999999998E-2</v>
      </c>
      <c r="L8" s="31">
        <f t="shared" si="2"/>
        <v>1.01</v>
      </c>
      <c r="M8" s="30">
        <f t="shared" si="2"/>
        <v>2690</v>
      </c>
      <c r="N8" s="30">
        <f t="shared" si="2"/>
        <v>1.48</v>
      </c>
      <c r="O8" s="38">
        <f t="shared" si="2"/>
        <v>2.2000000000000001E-3</v>
      </c>
      <c r="P8" s="31">
        <f t="shared" si="2"/>
        <v>2.0299999999999998</v>
      </c>
    </row>
    <row r="9" spans="1:16">
      <c r="A9" s="14"/>
      <c r="B9" s="15" t="s">
        <v>102</v>
      </c>
      <c r="C9" s="30">
        <f>AVERAGE(C2:C5)</f>
        <v>1352.4830000000002</v>
      </c>
      <c r="D9" s="16">
        <f t="shared" ref="D9:P9" si="3">AVERAGE(D2:D6)</f>
        <v>6942.5</v>
      </c>
      <c r="E9" s="16">
        <f t="shared" si="3"/>
        <v>1422.5</v>
      </c>
      <c r="F9" s="30">
        <f t="shared" si="3"/>
        <v>7.7850000000000001</v>
      </c>
      <c r="G9" s="31">
        <f t="shared" si="3"/>
        <v>56.05</v>
      </c>
      <c r="H9" s="31">
        <f t="shared" si="3"/>
        <v>0.125</v>
      </c>
      <c r="I9" s="30">
        <f t="shared" si="3"/>
        <v>2942.5</v>
      </c>
      <c r="J9" s="64">
        <f t="shared" si="3"/>
        <v>0.69877500000000003</v>
      </c>
      <c r="K9" s="31">
        <f t="shared" si="3"/>
        <v>3.0474999999999999E-2</v>
      </c>
      <c r="L9" s="31">
        <f t="shared" si="3"/>
        <v>0.72925000000000006</v>
      </c>
      <c r="M9" s="30">
        <f t="shared" si="3"/>
        <v>1535</v>
      </c>
      <c r="N9" s="30">
        <f t="shared" si="3"/>
        <v>1.4750000000000001</v>
      </c>
      <c r="O9" s="38">
        <f t="shared" si="3"/>
        <v>8.6249999999999999E-4</v>
      </c>
      <c r="P9" s="31">
        <f t="shared" si="3"/>
        <v>0.66449999999999998</v>
      </c>
    </row>
    <row r="10" spans="1:16">
      <c r="A10" s="14"/>
      <c r="B10" s="15" t="s">
        <v>103</v>
      </c>
      <c r="C10" s="30">
        <f>_xlfn.STDEV.P(C2:C5)</f>
        <v>7.071067811869762E-2</v>
      </c>
      <c r="D10" s="16">
        <f t="shared" ref="D10:P10" si="4">_xlfn.STDEV.P(D2:D6)</f>
        <v>99.341582431527641</v>
      </c>
      <c r="E10" s="16">
        <f t="shared" si="4"/>
        <v>118.82234638316145</v>
      </c>
      <c r="F10" s="30">
        <f t="shared" si="4"/>
        <v>7.2629195231669857E-2</v>
      </c>
      <c r="G10" s="31">
        <f t="shared" si="4"/>
        <v>3.3170016581243975</v>
      </c>
      <c r="H10" s="31">
        <f t="shared" si="4"/>
        <v>0</v>
      </c>
      <c r="I10" s="30">
        <f t="shared" si="4"/>
        <v>49.180788932265003</v>
      </c>
      <c r="J10" s="64">
        <f t="shared" si="4"/>
        <v>0.20995235620254407</v>
      </c>
      <c r="K10" s="31">
        <f t="shared" si="4"/>
        <v>1.2446560769947662E-2</v>
      </c>
      <c r="L10" s="31">
        <f t="shared" si="4"/>
        <v>0.20553877371435264</v>
      </c>
      <c r="M10" s="30">
        <f t="shared" si="4"/>
        <v>668.44969893029349</v>
      </c>
      <c r="N10" s="30">
        <f t="shared" si="4"/>
        <v>8.6602540378443935E-3</v>
      </c>
      <c r="O10" s="38">
        <f t="shared" si="4"/>
        <v>7.7892153006576994E-4</v>
      </c>
      <c r="P10" s="31">
        <f t="shared" si="4"/>
        <v>0.7984029371188458</v>
      </c>
    </row>
    <row r="11" spans="1:16" ht="12.75" customHeight="1">
      <c r="A11" s="17"/>
      <c r="B11" s="131" t="s">
        <v>112</v>
      </c>
      <c r="C11" s="130"/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</row>
    <row r="12" spans="1:16" ht="12.75" customHeight="1">
      <c r="A12" s="17"/>
      <c r="B12" s="130" t="s">
        <v>117</v>
      </c>
      <c r="C12" s="130"/>
      <c r="D12" s="130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</row>
    <row r="13" spans="1:16" ht="12.75" customHeight="1">
      <c r="A13" s="17"/>
      <c r="B13" s="130" t="s">
        <v>114</v>
      </c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</row>
    <row r="14" spans="1:16" ht="12.75" customHeight="1">
      <c r="A14" s="17"/>
      <c r="B14" s="130" t="s">
        <v>108</v>
      </c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</row>
    <row r="15" spans="1:16" ht="12.75" customHeight="1">
      <c r="A15" s="18"/>
      <c r="B15" s="130" t="s">
        <v>115</v>
      </c>
      <c r="C15" s="130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</row>
    <row r="16" spans="1:16" ht="12.75" customHeight="1"/>
  </sheetData>
  <mergeCells count="5">
    <mergeCell ref="B11:P11"/>
    <mergeCell ref="B12:P12"/>
    <mergeCell ref="B13:P13"/>
    <mergeCell ref="B14:P14"/>
    <mergeCell ref="B15:P15"/>
  </mergeCells>
  <printOptions horizontalCentered="1"/>
  <pageMargins left="0.25" right="0.25" top="1.0833333333333299" bottom="0.75" header="0.3" footer="0.3"/>
  <pageSetup orientation="landscape" r:id="rId1"/>
  <headerFooter alignWithMargins="0">
    <oddHeader>&amp;LBarrick Gold Inc. - Nickel Plate Mine&amp;C&amp;"-,Regular"&amp;18
Table 19- P17 Data&amp;RAnnual Report, 2017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P15"/>
  <sheetViews>
    <sheetView zoomScaleNormal="100" workbookViewId="0">
      <selection activeCell="B33" sqref="B33"/>
    </sheetView>
  </sheetViews>
  <sheetFormatPr defaultColWidth="9.1328125" defaultRowHeight="15.75"/>
  <cols>
    <col min="1" max="1" width="4.3984375" style="19" customWidth="1"/>
    <col min="2" max="2" width="10.59765625" style="23" bestFit="1" customWidth="1"/>
    <col min="3" max="3" width="10.59765625" style="19" bestFit="1" customWidth="1"/>
    <col min="4" max="5" width="6.86328125" style="89" customWidth="1"/>
    <col min="6" max="6" width="5.73046875" style="19" customWidth="1"/>
    <col min="7" max="7" width="9.1328125" style="19" customWidth="1"/>
    <col min="8" max="9" width="8" style="19" bestFit="1" customWidth="1"/>
    <col min="10" max="10" width="7.265625" style="74" customWidth="1"/>
    <col min="11" max="11" width="8.1328125" style="19" customWidth="1"/>
    <col min="12" max="12" width="8" style="19" bestFit="1" customWidth="1"/>
    <col min="13" max="13" width="5.86328125" style="19" bestFit="1" customWidth="1"/>
    <col min="14" max="14" width="5.73046875" style="87" customWidth="1"/>
    <col min="15" max="15" width="9.1328125" style="19" bestFit="1" customWidth="1"/>
    <col min="16" max="16" width="8" style="19" customWidth="1"/>
    <col min="17" max="18" width="9.1328125" style="19"/>
    <col min="19" max="19" width="11.3984375" style="19" bestFit="1" customWidth="1"/>
    <col min="20" max="16384" width="9.1328125" style="19"/>
  </cols>
  <sheetData>
    <row r="1" spans="1:16" ht="132">
      <c r="A1" s="1" t="s">
        <v>45</v>
      </c>
      <c r="B1" s="2" t="s">
        <v>46</v>
      </c>
      <c r="C1" s="4" t="s">
        <v>49</v>
      </c>
      <c r="D1" s="71" t="s">
        <v>51</v>
      </c>
      <c r="E1" s="71" t="s">
        <v>0</v>
      </c>
      <c r="F1" s="4" t="s">
        <v>52</v>
      </c>
      <c r="G1" s="5" t="s">
        <v>56</v>
      </c>
      <c r="H1" s="7" t="s">
        <v>57</v>
      </c>
      <c r="I1" s="5" t="s">
        <v>59</v>
      </c>
      <c r="J1" s="73" t="s">
        <v>105</v>
      </c>
      <c r="K1" s="7" t="s">
        <v>60</v>
      </c>
      <c r="L1" s="7" t="s">
        <v>61</v>
      </c>
      <c r="M1" s="4" t="s">
        <v>62</v>
      </c>
      <c r="N1" s="4" t="s">
        <v>85</v>
      </c>
      <c r="O1" s="10" t="s">
        <v>86</v>
      </c>
      <c r="P1" s="7" t="s">
        <v>87</v>
      </c>
    </row>
    <row r="2" spans="1:16">
      <c r="A2" s="20" t="s">
        <v>2</v>
      </c>
      <c r="B2" s="21">
        <v>42774.5</v>
      </c>
      <c r="C2" s="119">
        <v>1337.34</v>
      </c>
      <c r="D2" s="88">
        <v>2240</v>
      </c>
      <c r="E2" s="88">
        <v>1030</v>
      </c>
      <c r="F2" s="22">
        <v>8.43</v>
      </c>
      <c r="G2" s="22">
        <v>12.1</v>
      </c>
      <c r="H2" s="24">
        <f>0.5* 0.1</f>
        <v>0.05</v>
      </c>
      <c r="I2" s="22">
        <v>788</v>
      </c>
      <c r="J2" s="72">
        <f t="shared" ref="J2:J5" si="0">L2-K2</f>
        <v>0.33450000000000002</v>
      </c>
      <c r="K2" s="24">
        <f>0.5* 0.005</f>
        <v>2.5000000000000001E-3</v>
      </c>
      <c r="L2" s="22">
        <v>0.33700000000000002</v>
      </c>
      <c r="M2" s="22">
        <v>3.89</v>
      </c>
      <c r="N2" s="86">
        <v>0.84</v>
      </c>
      <c r="O2" s="24">
        <f>0.5* 0.0002</f>
        <v>1E-4</v>
      </c>
      <c r="P2" s="22">
        <v>3.3599999999999998E-2</v>
      </c>
    </row>
    <row r="3" spans="1:16">
      <c r="A3" s="20" t="s">
        <v>2</v>
      </c>
      <c r="B3" s="21">
        <v>42907.5</v>
      </c>
      <c r="C3" s="119">
        <v>1339.22</v>
      </c>
      <c r="D3" s="88">
        <v>2060</v>
      </c>
      <c r="E3" s="88">
        <v>979</v>
      </c>
      <c r="F3" s="22">
        <v>8.3000000000000007</v>
      </c>
      <c r="G3" s="22">
        <v>10.199999999999999</v>
      </c>
      <c r="H3" s="24">
        <f>0.5* 0.1</f>
        <v>0.05</v>
      </c>
      <c r="I3" s="22">
        <v>846</v>
      </c>
      <c r="J3" s="72">
        <f t="shared" si="0"/>
        <v>0.2515</v>
      </c>
      <c r="K3" s="24">
        <f>0.5* 0.005</f>
        <v>2.5000000000000001E-3</v>
      </c>
      <c r="L3" s="22">
        <v>0.254</v>
      </c>
      <c r="M3" s="22">
        <v>7.7</v>
      </c>
      <c r="N3" s="86">
        <v>0.79900000000000004</v>
      </c>
      <c r="O3" s="24">
        <f>0.5* 0.0002</f>
        <v>1E-4</v>
      </c>
      <c r="P3" s="22">
        <v>1.6E-2</v>
      </c>
    </row>
    <row r="4" spans="1:16">
      <c r="A4" s="20" t="s">
        <v>2</v>
      </c>
      <c r="B4" s="21">
        <v>43005</v>
      </c>
      <c r="C4" s="119">
        <v>1338.11</v>
      </c>
      <c r="D4" s="88">
        <v>2020</v>
      </c>
      <c r="E4" s="88">
        <v>936</v>
      </c>
      <c r="F4" s="22">
        <v>8.16</v>
      </c>
      <c r="G4" s="22">
        <v>11.4</v>
      </c>
      <c r="H4" s="24">
        <f>0.5* 0.05</f>
        <v>2.5000000000000001E-2</v>
      </c>
      <c r="I4" s="22">
        <v>789</v>
      </c>
      <c r="J4" s="72">
        <f t="shared" si="0"/>
        <v>0.28749999999999998</v>
      </c>
      <c r="K4" s="24">
        <f>0.5* 0.005</f>
        <v>2.5000000000000001E-3</v>
      </c>
      <c r="L4" s="22">
        <v>0.28999999999999998</v>
      </c>
      <c r="M4" s="24">
        <f>0.5* 0.5</f>
        <v>0.25</v>
      </c>
      <c r="N4" s="86">
        <v>0.70499999999999996</v>
      </c>
      <c r="O4" s="24">
        <f>0.5* 0.0002</f>
        <v>1E-4</v>
      </c>
      <c r="P4" s="22">
        <v>5.5E-2</v>
      </c>
    </row>
    <row r="5" spans="1:16">
      <c r="A5" s="20" t="s">
        <v>2</v>
      </c>
      <c r="B5" s="21">
        <v>43096.5</v>
      </c>
      <c r="C5" s="126">
        <v>1337.3899999999999</v>
      </c>
      <c r="D5" s="88">
        <v>2090</v>
      </c>
      <c r="E5" s="88">
        <v>878</v>
      </c>
      <c r="F5" s="22">
        <v>8.3000000000000007</v>
      </c>
      <c r="G5" s="22">
        <v>13.4</v>
      </c>
      <c r="H5" s="22">
        <v>5.2999999999999999E-2</v>
      </c>
      <c r="I5" s="22">
        <v>757</v>
      </c>
      <c r="J5" s="72">
        <f t="shared" si="0"/>
        <v>0.1925</v>
      </c>
      <c r="K5" s="24">
        <f>0.5* 0.005</f>
        <v>2.5000000000000001E-3</v>
      </c>
      <c r="L5" s="22">
        <v>0.19500000000000001</v>
      </c>
      <c r="M5" s="22">
        <v>4.1500000000000004</v>
      </c>
      <c r="N5" s="86">
        <v>0.84199999999999997</v>
      </c>
      <c r="O5" s="24">
        <f>0.5* 0.0004</f>
        <v>2.0000000000000001E-4</v>
      </c>
      <c r="P5" s="22">
        <v>0.13700000000000001</v>
      </c>
    </row>
    <row r="6" spans="1:16">
      <c r="A6" s="14"/>
      <c r="B6" s="15" t="s">
        <v>100</v>
      </c>
      <c r="C6" s="30">
        <f>MIN(C2:C5)</f>
        <v>1337.34</v>
      </c>
      <c r="D6" s="16">
        <f t="shared" ref="D6:P6" si="1">MIN(D2:D5)</f>
        <v>2020</v>
      </c>
      <c r="E6" s="16">
        <f t="shared" si="1"/>
        <v>878</v>
      </c>
      <c r="F6" s="30">
        <f t="shared" si="1"/>
        <v>8.16</v>
      </c>
      <c r="G6" s="31">
        <f t="shared" si="1"/>
        <v>10.199999999999999</v>
      </c>
      <c r="H6" s="31">
        <f t="shared" si="1"/>
        <v>2.5000000000000001E-2</v>
      </c>
      <c r="I6" s="30">
        <f t="shared" si="1"/>
        <v>757</v>
      </c>
      <c r="J6" s="64">
        <f t="shared" si="1"/>
        <v>0.1925</v>
      </c>
      <c r="K6" s="31">
        <f t="shared" si="1"/>
        <v>2.5000000000000001E-3</v>
      </c>
      <c r="L6" s="31">
        <f t="shared" si="1"/>
        <v>0.19500000000000001</v>
      </c>
      <c r="M6" s="30">
        <f t="shared" si="1"/>
        <v>0.25</v>
      </c>
      <c r="N6" s="30">
        <f t="shared" si="1"/>
        <v>0.70499999999999996</v>
      </c>
      <c r="O6" s="38">
        <f t="shared" si="1"/>
        <v>1E-4</v>
      </c>
      <c r="P6" s="31">
        <f t="shared" si="1"/>
        <v>1.6E-2</v>
      </c>
    </row>
    <row r="7" spans="1:16">
      <c r="A7" s="14"/>
      <c r="B7" s="15" t="s">
        <v>101</v>
      </c>
      <c r="C7" s="30">
        <f>MAX(C2:C5)</f>
        <v>1339.22</v>
      </c>
      <c r="D7" s="16">
        <f t="shared" ref="D7:P7" si="2">MAX(D2:D5)</f>
        <v>2240</v>
      </c>
      <c r="E7" s="16">
        <f t="shared" si="2"/>
        <v>1030</v>
      </c>
      <c r="F7" s="30">
        <f t="shared" si="2"/>
        <v>8.43</v>
      </c>
      <c r="G7" s="31">
        <f t="shared" si="2"/>
        <v>13.4</v>
      </c>
      <c r="H7" s="31">
        <f t="shared" si="2"/>
        <v>5.2999999999999999E-2</v>
      </c>
      <c r="I7" s="30">
        <f t="shared" si="2"/>
        <v>846</v>
      </c>
      <c r="J7" s="64">
        <f t="shared" si="2"/>
        <v>0.33450000000000002</v>
      </c>
      <c r="K7" s="31">
        <f t="shared" si="2"/>
        <v>2.5000000000000001E-3</v>
      </c>
      <c r="L7" s="31">
        <f t="shared" si="2"/>
        <v>0.33700000000000002</v>
      </c>
      <c r="M7" s="30">
        <f t="shared" si="2"/>
        <v>7.7</v>
      </c>
      <c r="N7" s="30">
        <f t="shared" si="2"/>
        <v>0.84199999999999997</v>
      </c>
      <c r="O7" s="38">
        <f t="shared" si="2"/>
        <v>2.0000000000000001E-4</v>
      </c>
      <c r="P7" s="31">
        <f t="shared" si="2"/>
        <v>0.13700000000000001</v>
      </c>
    </row>
    <row r="8" spans="1:16">
      <c r="A8" s="14"/>
      <c r="B8" s="15" t="s">
        <v>102</v>
      </c>
      <c r="C8" s="30">
        <f>AVERAGE(C2:C5)</f>
        <v>1338.0149999999999</v>
      </c>
      <c r="D8" s="16">
        <f t="shared" ref="D8:P8" si="3">AVERAGE(D2:D5)</f>
        <v>2102.5</v>
      </c>
      <c r="E8" s="16">
        <f t="shared" si="3"/>
        <v>955.75</v>
      </c>
      <c r="F8" s="30">
        <f t="shared" si="3"/>
        <v>8.2974999999999994</v>
      </c>
      <c r="G8" s="31">
        <f t="shared" si="3"/>
        <v>11.774999999999999</v>
      </c>
      <c r="H8" s="31">
        <f t="shared" si="3"/>
        <v>4.4499999999999998E-2</v>
      </c>
      <c r="I8" s="30">
        <f t="shared" si="3"/>
        <v>795</v>
      </c>
      <c r="J8" s="64">
        <f t="shared" si="3"/>
        <v>0.26650000000000001</v>
      </c>
      <c r="K8" s="31">
        <f t="shared" si="3"/>
        <v>2.5000000000000001E-3</v>
      </c>
      <c r="L8" s="31">
        <f t="shared" si="3"/>
        <v>0.26900000000000002</v>
      </c>
      <c r="M8" s="30">
        <f t="shared" si="3"/>
        <v>3.9975000000000001</v>
      </c>
      <c r="N8" s="30">
        <f t="shared" si="3"/>
        <v>0.79649999999999999</v>
      </c>
      <c r="O8" s="38">
        <f t="shared" si="3"/>
        <v>1.25E-4</v>
      </c>
      <c r="P8" s="31">
        <f t="shared" si="3"/>
        <v>6.0400000000000002E-2</v>
      </c>
    </row>
    <row r="9" spans="1:16">
      <c r="A9" s="14"/>
      <c r="B9" s="15" t="s">
        <v>103</v>
      </c>
      <c r="C9" s="30">
        <f>_xlfn.STDEV.P(C2:C5)</f>
        <v>0.7594899604340265</v>
      </c>
      <c r="D9" s="16">
        <f t="shared" ref="D9:P9" si="4">_xlfn.STDEV.P(D2:D5)</f>
        <v>83.179023798070631</v>
      </c>
      <c r="E9" s="16">
        <f t="shared" si="4"/>
        <v>55.876538010152345</v>
      </c>
      <c r="F9" s="30">
        <f t="shared" si="4"/>
        <v>9.5492146273921247E-2</v>
      </c>
      <c r="G9" s="31">
        <f t="shared" si="4"/>
        <v>1.1583932838203097</v>
      </c>
      <c r="H9" s="31">
        <f t="shared" si="4"/>
        <v>1.1324751652906138E-2</v>
      </c>
      <c r="I9" s="30">
        <f t="shared" si="4"/>
        <v>32.132538026119256</v>
      </c>
      <c r="J9" s="64">
        <f t="shared" si="4"/>
        <v>5.1879668464630588E-2</v>
      </c>
      <c r="K9" s="31">
        <f t="shared" si="4"/>
        <v>0</v>
      </c>
      <c r="L9" s="31">
        <f t="shared" si="4"/>
        <v>5.1879668464630588E-2</v>
      </c>
      <c r="M9" s="30">
        <f t="shared" si="4"/>
        <v>2.6356723525506731</v>
      </c>
      <c r="N9" s="30">
        <f t="shared" si="4"/>
        <v>5.5545026780081767E-2</v>
      </c>
      <c r="O9" s="38">
        <f t="shared" si="4"/>
        <v>4.3301270189221932E-5</v>
      </c>
      <c r="P9" s="31">
        <f t="shared" si="4"/>
        <v>4.6331198991608251E-2</v>
      </c>
    </row>
    <row r="10" spans="1:16" ht="12.75" customHeight="1">
      <c r="A10" s="17"/>
      <c r="B10" s="131" t="s">
        <v>112</v>
      </c>
      <c r="C10" s="130"/>
      <c r="D10" s="130"/>
      <c r="E10" s="130"/>
      <c r="F10" s="130"/>
      <c r="G10" s="130"/>
      <c r="H10" s="130"/>
      <c r="I10" s="130"/>
      <c r="J10" s="130"/>
      <c r="K10" s="130"/>
      <c r="L10" s="130"/>
      <c r="M10" s="130"/>
      <c r="N10" s="130"/>
      <c r="O10" s="130"/>
      <c r="P10" s="130"/>
    </row>
    <row r="11" spans="1:16" ht="12.75" customHeight="1">
      <c r="A11" s="17"/>
      <c r="B11" s="130" t="s">
        <v>117</v>
      </c>
      <c r="C11" s="130"/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</row>
    <row r="12" spans="1:16" ht="12.75" customHeight="1">
      <c r="A12" s="17"/>
      <c r="B12" s="130" t="s">
        <v>114</v>
      </c>
      <c r="C12" s="130"/>
      <c r="D12" s="130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</row>
    <row r="13" spans="1:16" ht="12.75" customHeight="1">
      <c r="A13" s="17"/>
      <c r="B13" s="130" t="s">
        <v>108</v>
      </c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</row>
    <row r="14" spans="1:16" ht="12.75" customHeight="1">
      <c r="A14" s="18"/>
      <c r="B14" s="130" t="s">
        <v>115</v>
      </c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</row>
    <row r="15" spans="1:16" ht="12.75" customHeight="1"/>
  </sheetData>
  <mergeCells count="5">
    <mergeCell ref="B10:P10"/>
    <mergeCell ref="B11:P11"/>
    <mergeCell ref="B12:P12"/>
    <mergeCell ref="B13:P13"/>
    <mergeCell ref="B14:P14"/>
  </mergeCells>
  <printOptions horizontalCentered="1"/>
  <pageMargins left="0.25" right="0.25" top="1.0833333333333299" bottom="0.75" header="0.3" footer="0.3"/>
  <pageSetup orientation="landscape" r:id="rId1"/>
  <headerFooter alignWithMargins="0">
    <oddHeader>&amp;LBarrick Gold Inc. - Nickel Plate Mine&amp;C&amp;"-,Regular"&amp;18
Table 20- P32 Data&amp;RAnnual Report, 2017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15"/>
  <sheetViews>
    <sheetView zoomScaleNormal="100" workbookViewId="0">
      <selection activeCell="B33" sqref="B33"/>
    </sheetView>
  </sheetViews>
  <sheetFormatPr defaultColWidth="9.1328125" defaultRowHeight="15.75"/>
  <cols>
    <col min="1" max="1" width="4.3984375" style="19" customWidth="1"/>
    <col min="2" max="2" width="10.59765625" style="23" bestFit="1" customWidth="1"/>
    <col min="3" max="3" width="9.73046875" style="19" bestFit="1" customWidth="1"/>
    <col min="4" max="5" width="6.86328125" style="89" customWidth="1"/>
    <col min="6" max="6" width="5.73046875" style="19" customWidth="1"/>
    <col min="7" max="9" width="8" style="19" bestFit="1" customWidth="1"/>
    <col min="10" max="10" width="7.265625" style="74" customWidth="1"/>
    <col min="11" max="11" width="8.1328125" style="19" customWidth="1"/>
    <col min="12" max="12" width="8" style="19" bestFit="1" customWidth="1"/>
    <col min="13" max="13" width="5.86328125" style="19" bestFit="1" customWidth="1"/>
    <col min="14" max="14" width="5.73046875" style="87" customWidth="1"/>
    <col min="15" max="15" width="9.1328125" style="19" bestFit="1" customWidth="1"/>
    <col min="16" max="16" width="8" style="19" customWidth="1"/>
    <col min="17" max="18" width="9.1328125" style="19"/>
    <col min="19" max="19" width="11.3984375" style="19" bestFit="1" customWidth="1"/>
    <col min="20" max="16384" width="9.1328125" style="19"/>
  </cols>
  <sheetData>
    <row r="1" spans="1:16" ht="132">
      <c r="A1" s="1" t="s">
        <v>45</v>
      </c>
      <c r="B1" s="2" t="s">
        <v>46</v>
      </c>
      <c r="C1" s="4" t="s">
        <v>49</v>
      </c>
      <c r="D1" s="71" t="s">
        <v>51</v>
      </c>
      <c r="E1" s="71" t="s">
        <v>0</v>
      </c>
      <c r="F1" s="4" t="s">
        <v>52</v>
      </c>
      <c r="G1" s="5" t="s">
        <v>56</v>
      </c>
      <c r="H1" s="7" t="s">
        <v>57</v>
      </c>
      <c r="I1" s="5" t="s">
        <v>59</v>
      </c>
      <c r="J1" s="73" t="s">
        <v>105</v>
      </c>
      <c r="K1" s="7" t="s">
        <v>60</v>
      </c>
      <c r="L1" s="7" t="s">
        <v>61</v>
      </c>
      <c r="M1" s="4" t="s">
        <v>62</v>
      </c>
      <c r="N1" s="4" t="s">
        <v>85</v>
      </c>
      <c r="O1" s="10" t="s">
        <v>86</v>
      </c>
      <c r="P1" s="7" t="s">
        <v>87</v>
      </c>
    </row>
    <row r="2" spans="1:16">
      <c r="A2" s="20" t="s">
        <v>3</v>
      </c>
      <c r="B2" s="21">
        <v>42774.5</v>
      </c>
      <c r="C2" s="119">
        <v>1337.8059999999998</v>
      </c>
      <c r="D2" s="22">
        <v>2210</v>
      </c>
      <c r="E2" s="88">
        <v>1300</v>
      </c>
      <c r="F2" s="22">
        <v>7.68</v>
      </c>
      <c r="G2" s="22">
        <v>3.68</v>
      </c>
      <c r="H2" s="24">
        <f>0.5* 0.1</f>
        <v>0.05</v>
      </c>
      <c r="I2" s="22">
        <v>974</v>
      </c>
      <c r="J2" s="72">
        <f t="shared" ref="J2:J5" si="0">L2-K2</f>
        <v>0.33450000000000002</v>
      </c>
      <c r="K2" s="24">
        <f>0.5* 0.005</f>
        <v>2.5000000000000001E-3</v>
      </c>
      <c r="L2" s="22">
        <v>0.33700000000000002</v>
      </c>
      <c r="M2" s="24">
        <f>0.5* 0.5</f>
        <v>0.25</v>
      </c>
      <c r="N2" s="86">
        <v>0.83</v>
      </c>
      <c r="O2" s="24">
        <f>0.5* 0.0002</f>
        <v>1E-4</v>
      </c>
      <c r="P2" s="22">
        <v>0.188</v>
      </c>
    </row>
    <row r="3" spans="1:16">
      <c r="A3" s="20" t="s">
        <v>3</v>
      </c>
      <c r="B3" s="21">
        <v>42914.5</v>
      </c>
      <c r="C3" s="119">
        <v>1339.2859999999998</v>
      </c>
      <c r="D3" s="22">
        <v>1920</v>
      </c>
      <c r="E3" s="88">
        <v>1110</v>
      </c>
      <c r="F3" s="22">
        <v>7.42</v>
      </c>
      <c r="G3" s="22">
        <v>4.0199999999999996</v>
      </c>
      <c r="H3" s="22">
        <v>0.23699999999999999</v>
      </c>
      <c r="I3" s="22">
        <v>872</v>
      </c>
      <c r="J3" s="72">
        <f t="shared" si="0"/>
        <v>0.2155</v>
      </c>
      <c r="K3" s="24">
        <f>0.5* 0.005</f>
        <v>2.5000000000000001E-3</v>
      </c>
      <c r="L3" s="22">
        <v>0.218</v>
      </c>
      <c r="M3" s="24">
        <f>0.5* 2.5</f>
        <v>1.25</v>
      </c>
      <c r="N3" s="86">
        <v>0.75800000000000001</v>
      </c>
      <c r="O3" s="24">
        <f>0.5* 0.0004</f>
        <v>2.0000000000000001E-4</v>
      </c>
      <c r="P3" s="22">
        <v>2.5000000000000001E-2</v>
      </c>
    </row>
    <row r="4" spans="1:16">
      <c r="A4" s="20" t="s">
        <v>3</v>
      </c>
      <c r="B4" s="21">
        <v>43005</v>
      </c>
      <c r="C4" s="119">
        <v>1338.386</v>
      </c>
      <c r="D4" s="22">
        <v>1890</v>
      </c>
      <c r="E4" s="88">
        <v>1120</v>
      </c>
      <c r="F4" s="22">
        <v>7.64</v>
      </c>
      <c r="G4" s="22">
        <v>4.3099999999999996</v>
      </c>
      <c r="H4" s="24">
        <f>0.5* 0.05</f>
        <v>2.5000000000000001E-2</v>
      </c>
      <c r="I4" s="22">
        <v>850</v>
      </c>
      <c r="J4" s="72">
        <f t="shared" si="0"/>
        <v>0.29149999999999998</v>
      </c>
      <c r="K4" s="24">
        <f>0.5* 0.005</f>
        <v>2.5000000000000001E-3</v>
      </c>
      <c r="L4" s="22">
        <v>0.29399999999999998</v>
      </c>
      <c r="M4" s="24">
        <f>0.5* 0.5</f>
        <v>0.25</v>
      </c>
      <c r="N4" s="86">
        <v>0.69</v>
      </c>
      <c r="O4" s="24">
        <f>0.5* 0.0002</f>
        <v>1E-4</v>
      </c>
      <c r="P4" s="22">
        <v>0.10100000000000001</v>
      </c>
    </row>
    <row r="5" spans="1:16">
      <c r="A5" s="20" t="s">
        <v>3</v>
      </c>
      <c r="B5" s="21">
        <v>43096.5</v>
      </c>
      <c r="C5" s="126">
        <v>1337.6659999999999</v>
      </c>
      <c r="D5" s="22">
        <v>1910</v>
      </c>
      <c r="E5" s="88">
        <v>1110</v>
      </c>
      <c r="F5" s="22">
        <v>7.75</v>
      </c>
      <c r="G5" s="22">
        <v>4.41</v>
      </c>
      <c r="H5" s="22">
        <v>0.158</v>
      </c>
      <c r="I5" s="22">
        <v>789</v>
      </c>
      <c r="J5" s="72">
        <f t="shared" si="0"/>
        <v>0.1605</v>
      </c>
      <c r="K5" s="24">
        <f>0.5* 0.005</f>
        <v>2.5000000000000001E-3</v>
      </c>
      <c r="L5" s="22">
        <v>0.16300000000000001</v>
      </c>
      <c r="M5" s="22">
        <v>0.65</v>
      </c>
      <c r="N5" s="86">
        <v>0.63600000000000001</v>
      </c>
      <c r="O5" s="22">
        <v>3.5E-4</v>
      </c>
      <c r="P5" s="22">
        <v>1.2999999999999999E-2</v>
      </c>
    </row>
    <row r="6" spans="1:16">
      <c r="A6" s="14"/>
      <c r="B6" s="15" t="s">
        <v>100</v>
      </c>
      <c r="C6" s="30">
        <f>MIN(C2:C5)</f>
        <v>1337.6659999999999</v>
      </c>
      <c r="D6" s="16">
        <f t="shared" ref="D6:P6" si="1">MIN(D2:D5)</f>
        <v>1890</v>
      </c>
      <c r="E6" s="16">
        <f t="shared" si="1"/>
        <v>1110</v>
      </c>
      <c r="F6" s="30">
        <f t="shared" si="1"/>
        <v>7.42</v>
      </c>
      <c r="G6" s="31">
        <f t="shared" si="1"/>
        <v>3.68</v>
      </c>
      <c r="H6" s="31">
        <f t="shared" si="1"/>
        <v>2.5000000000000001E-2</v>
      </c>
      <c r="I6" s="30">
        <f t="shared" si="1"/>
        <v>789</v>
      </c>
      <c r="J6" s="64">
        <f t="shared" si="1"/>
        <v>0.1605</v>
      </c>
      <c r="K6" s="31">
        <f t="shared" si="1"/>
        <v>2.5000000000000001E-3</v>
      </c>
      <c r="L6" s="31">
        <f t="shared" si="1"/>
        <v>0.16300000000000001</v>
      </c>
      <c r="M6" s="30">
        <f t="shared" si="1"/>
        <v>0.25</v>
      </c>
      <c r="N6" s="30">
        <f t="shared" si="1"/>
        <v>0.63600000000000001</v>
      </c>
      <c r="O6" s="38">
        <f t="shared" si="1"/>
        <v>1E-4</v>
      </c>
      <c r="P6" s="31">
        <f t="shared" si="1"/>
        <v>1.2999999999999999E-2</v>
      </c>
    </row>
    <row r="7" spans="1:16">
      <c r="A7" s="14"/>
      <c r="B7" s="15" t="s">
        <v>101</v>
      </c>
      <c r="C7" s="30">
        <f>MAX(C2:C5)</f>
        <v>1339.2859999999998</v>
      </c>
      <c r="D7" s="16">
        <f t="shared" ref="D7:P7" si="2">MAX(D2:D5)</f>
        <v>2210</v>
      </c>
      <c r="E7" s="16">
        <f t="shared" si="2"/>
        <v>1300</v>
      </c>
      <c r="F7" s="30">
        <f t="shared" si="2"/>
        <v>7.75</v>
      </c>
      <c r="G7" s="31">
        <f t="shared" si="2"/>
        <v>4.41</v>
      </c>
      <c r="H7" s="31">
        <f t="shared" si="2"/>
        <v>0.23699999999999999</v>
      </c>
      <c r="I7" s="30">
        <f t="shared" si="2"/>
        <v>974</v>
      </c>
      <c r="J7" s="64">
        <f t="shared" si="2"/>
        <v>0.33450000000000002</v>
      </c>
      <c r="K7" s="31">
        <f t="shared" si="2"/>
        <v>2.5000000000000001E-3</v>
      </c>
      <c r="L7" s="31">
        <f t="shared" si="2"/>
        <v>0.33700000000000002</v>
      </c>
      <c r="M7" s="30">
        <f t="shared" si="2"/>
        <v>1.25</v>
      </c>
      <c r="N7" s="30">
        <f t="shared" si="2"/>
        <v>0.83</v>
      </c>
      <c r="O7" s="38">
        <f t="shared" si="2"/>
        <v>3.5E-4</v>
      </c>
      <c r="P7" s="31">
        <f t="shared" si="2"/>
        <v>0.188</v>
      </c>
    </row>
    <row r="8" spans="1:16">
      <c r="A8" s="14"/>
      <c r="B8" s="15" t="s">
        <v>102</v>
      </c>
      <c r="C8" s="30">
        <f>AVERAGE(C2:C5)</f>
        <v>1338.2859999999998</v>
      </c>
      <c r="D8" s="16">
        <f t="shared" ref="D8:P8" si="3">AVERAGE(D2:D5)</f>
        <v>1982.5</v>
      </c>
      <c r="E8" s="16">
        <f t="shared" si="3"/>
        <v>1160</v>
      </c>
      <c r="F8" s="30">
        <f t="shared" si="3"/>
        <v>7.6224999999999996</v>
      </c>
      <c r="G8" s="31">
        <f t="shared" si="3"/>
        <v>4.1049999999999995</v>
      </c>
      <c r="H8" s="31">
        <f t="shared" si="3"/>
        <v>0.11749999999999999</v>
      </c>
      <c r="I8" s="30">
        <f t="shared" si="3"/>
        <v>871.25</v>
      </c>
      <c r="J8" s="64">
        <f t="shared" si="3"/>
        <v>0.2505</v>
      </c>
      <c r="K8" s="31">
        <f t="shared" si="3"/>
        <v>2.5000000000000001E-3</v>
      </c>
      <c r="L8" s="31">
        <f t="shared" si="3"/>
        <v>0.253</v>
      </c>
      <c r="M8" s="30">
        <f t="shared" si="3"/>
        <v>0.6</v>
      </c>
      <c r="N8" s="30">
        <f t="shared" si="3"/>
        <v>0.72850000000000004</v>
      </c>
      <c r="O8" s="38">
        <f t="shared" si="3"/>
        <v>1.875E-4</v>
      </c>
      <c r="P8" s="31">
        <f t="shared" si="3"/>
        <v>8.1750000000000003E-2</v>
      </c>
    </row>
    <row r="9" spans="1:16">
      <c r="A9" s="14"/>
      <c r="B9" s="15" t="s">
        <v>103</v>
      </c>
      <c r="C9" s="30">
        <f>_xlfn.STDEV.P(C2:C5)</f>
        <v>0.63733821476510988</v>
      </c>
      <c r="D9" s="16">
        <f t="shared" ref="D9:P9" si="4">_xlfn.STDEV.P(D2:D5)</f>
        <v>131.79055353097201</v>
      </c>
      <c r="E9" s="16">
        <f t="shared" si="4"/>
        <v>80.932070281193234</v>
      </c>
      <c r="F9" s="30">
        <f t="shared" si="4"/>
        <v>0.12336429791475326</v>
      </c>
      <c r="G9" s="31">
        <f t="shared" si="4"/>
        <v>0.28412145290350738</v>
      </c>
      <c r="H9" s="31">
        <f t="shared" si="4"/>
        <v>8.5195363723620549E-2</v>
      </c>
      <c r="I9" s="30">
        <f t="shared" si="4"/>
        <v>66.660989341593179</v>
      </c>
      <c r="J9" s="64">
        <f t="shared" si="4"/>
        <v>6.7197470190476713E-2</v>
      </c>
      <c r="K9" s="31">
        <f t="shared" si="4"/>
        <v>0</v>
      </c>
      <c r="L9" s="31">
        <f t="shared" si="4"/>
        <v>6.7197470190476713E-2</v>
      </c>
      <c r="M9" s="30">
        <f t="shared" si="4"/>
        <v>0.40926763859362247</v>
      </c>
      <c r="N9" s="30">
        <f t="shared" si="4"/>
        <v>7.2819983521008838E-2</v>
      </c>
      <c r="O9" s="38">
        <f t="shared" si="4"/>
        <v>1.0231690964840562E-4</v>
      </c>
      <c r="P9" s="31">
        <f t="shared" si="4"/>
        <v>7.0012052533831637E-2</v>
      </c>
    </row>
    <row r="10" spans="1:16" ht="12.75" customHeight="1">
      <c r="A10" s="17"/>
      <c r="B10" s="131" t="s">
        <v>112</v>
      </c>
      <c r="C10" s="130"/>
      <c r="D10" s="130"/>
      <c r="E10" s="130"/>
      <c r="F10" s="130"/>
      <c r="G10" s="130"/>
      <c r="H10" s="130"/>
      <c r="I10" s="130"/>
      <c r="J10" s="130"/>
      <c r="K10" s="130"/>
      <c r="L10" s="130"/>
      <c r="M10" s="130"/>
      <c r="N10" s="130"/>
      <c r="O10" s="130"/>
      <c r="P10" s="130"/>
    </row>
    <row r="11" spans="1:16" ht="12.75" customHeight="1">
      <c r="A11" s="17"/>
      <c r="B11" s="130" t="s">
        <v>117</v>
      </c>
      <c r="C11" s="130"/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</row>
    <row r="12" spans="1:16" ht="12.75" customHeight="1">
      <c r="A12" s="17"/>
      <c r="B12" s="130" t="s">
        <v>114</v>
      </c>
      <c r="C12" s="130"/>
      <c r="D12" s="130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</row>
    <row r="13" spans="1:16" ht="12.75" customHeight="1">
      <c r="A13" s="17"/>
      <c r="B13" s="130" t="s">
        <v>108</v>
      </c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</row>
    <row r="14" spans="1:16" ht="12.75" customHeight="1">
      <c r="A14" s="18"/>
      <c r="B14" s="130" t="s">
        <v>115</v>
      </c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</row>
    <row r="15" spans="1:16" ht="12.75" customHeight="1"/>
  </sheetData>
  <mergeCells count="5">
    <mergeCell ref="B10:P10"/>
    <mergeCell ref="B11:P11"/>
    <mergeCell ref="B12:P12"/>
    <mergeCell ref="B13:P13"/>
    <mergeCell ref="B14:P14"/>
  </mergeCells>
  <printOptions horizontalCentered="1"/>
  <pageMargins left="0.25" right="0.25" top="1.0833333333333299" bottom="0.75" header="0.3" footer="0.3"/>
  <pageSetup orientation="landscape" r:id="rId1"/>
  <headerFooter alignWithMargins="0">
    <oddHeader>&amp;LBarrick Gold Inc. - Nickel Plate Mine&amp;C&amp;"-,Regular"&amp;18
Table 21- P33 Data&amp;RAnnual Report, 2017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P15"/>
  <sheetViews>
    <sheetView zoomScaleNormal="100" workbookViewId="0">
      <selection activeCell="B33" sqref="B33"/>
    </sheetView>
  </sheetViews>
  <sheetFormatPr defaultColWidth="9.1328125" defaultRowHeight="15.75"/>
  <cols>
    <col min="1" max="1" width="4.3984375" style="19" customWidth="1"/>
    <col min="2" max="2" width="11" style="23" customWidth="1"/>
    <col min="3" max="3" width="9.73046875" style="19" bestFit="1" customWidth="1"/>
    <col min="4" max="5" width="6.86328125" style="89" customWidth="1"/>
    <col min="6" max="6" width="5.73046875" style="19" customWidth="1"/>
    <col min="7" max="8" width="9.1328125" style="19" customWidth="1"/>
    <col min="9" max="9" width="9.73046875" style="19" customWidth="1"/>
    <col min="10" max="10" width="7.265625" style="74" customWidth="1"/>
    <col min="11" max="12" width="8.1328125" style="19" customWidth="1"/>
    <col min="13" max="13" width="9.73046875" style="19" customWidth="1"/>
    <col min="14" max="14" width="5.73046875" style="87" customWidth="1"/>
    <col min="15" max="15" width="9.265625" style="19" customWidth="1"/>
    <col min="16" max="16" width="8" style="19" customWidth="1"/>
    <col min="17" max="18" width="9.1328125" style="19"/>
    <col min="19" max="19" width="11.3984375" style="19" bestFit="1" customWidth="1"/>
    <col min="20" max="16384" width="9.1328125" style="19"/>
  </cols>
  <sheetData>
    <row r="1" spans="1:16" ht="132">
      <c r="A1" s="1" t="s">
        <v>45</v>
      </c>
      <c r="B1" s="2" t="s">
        <v>46</v>
      </c>
      <c r="C1" s="4" t="s">
        <v>49</v>
      </c>
      <c r="D1" s="71" t="s">
        <v>51</v>
      </c>
      <c r="E1" s="71" t="s">
        <v>0</v>
      </c>
      <c r="F1" s="4" t="s">
        <v>52</v>
      </c>
      <c r="G1" s="5" t="s">
        <v>56</v>
      </c>
      <c r="H1" s="7" t="s">
        <v>57</v>
      </c>
      <c r="I1" s="5" t="s">
        <v>59</v>
      </c>
      <c r="J1" s="73" t="s">
        <v>105</v>
      </c>
      <c r="K1" s="7" t="s">
        <v>60</v>
      </c>
      <c r="L1" s="7" t="s">
        <v>61</v>
      </c>
      <c r="M1" s="4" t="s">
        <v>62</v>
      </c>
      <c r="N1" s="4" t="s">
        <v>85</v>
      </c>
      <c r="O1" s="10" t="s">
        <v>86</v>
      </c>
      <c r="P1" s="7" t="s">
        <v>87</v>
      </c>
    </row>
    <row r="2" spans="1:16">
      <c r="A2" s="20" t="s">
        <v>37</v>
      </c>
      <c r="B2" s="21">
        <v>42774.5</v>
      </c>
      <c r="C2" s="119">
        <v>1341.1690000000001</v>
      </c>
      <c r="D2" s="88">
        <v>2420</v>
      </c>
      <c r="E2" s="88">
        <v>1250</v>
      </c>
      <c r="F2" s="22">
        <v>7.63</v>
      </c>
      <c r="G2" s="22">
        <v>1.04</v>
      </c>
      <c r="H2" s="22">
        <v>2.75</v>
      </c>
      <c r="I2" s="22">
        <v>1230</v>
      </c>
      <c r="J2" s="72">
        <f t="shared" ref="J2:J5" si="0">L2-K2</f>
        <v>0.32050000000000001</v>
      </c>
      <c r="K2" s="24">
        <f>0.5* 0.005</f>
        <v>2.5000000000000001E-3</v>
      </c>
      <c r="L2" s="22">
        <v>0.32300000000000001</v>
      </c>
      <c r="M2" s="22">
        <v>1.38</v>
      </c>
      <c r="N2" s="86">
        <v>0.79500000000000004</v>
      </c>
      <c r="O2" s="22">
        <v>1.8799999999999999E-3</v>
      </c>
      <c r="P2" s="22">
        <v>6.0000000000000001E-3</v>
      </c>
    </row>
    <row r="3" spans="1:16">
      <c r="A3" s="20" t="s">
        <v>37</v>
      </c>
      <c r="B3" s="21">
        <v>42914.5</v>
      </c>
      <c r="C3" s="119">
        <v>1341.6290000000001</v>
      </c>
      <c r="D3" s="88">
        <v>2390</v>
      </c>
      <c r="E3" s="88">
        <v>1210</v>
      </c>
      <c r="F3" s="22">
        <v>7.35</v>
      </c>
      <c r="G3" s="22">
        <v>0.51100000000000001</v>
      </c>
      <c r="H3" s="22">
        <v>3.68</v>
      </c>
      <c r="I3" s="22">
        <v>1300</v>
      </c>
      <c r="J3" s="72">
        <f t="shared" si="0"/>
        <v>0.30149999999999999</v>
      </c>
      <c r="K3" s="24">
        <f>0.5* 0.005</f>
        <v>2.5000000000000001E-3</v>
      </c>
      <c r="L3" s="22">
        <v>0.30399999999999999</v>
      </c>
      <c r="M3" s="24">
        <f>0.5* 0.5</f>
        <v>0.25</v>
      </c>
      <c r="N3" s="86">
        <v>0.872</v>
      </c>
      <c r="O3" s="22">
        <v>3.0400000000000002E-3</v>
      </c>
      <c r="P3" s="24">
        <f>0.5* 0.02</f>
        <v>0.01</v>
      </c>
    </row>
    <row r="4" spans="1:16">
      <c r="A4" s="20" t="s">
        <v>37</v>
      </c>
      <c r="B4" s="21">
        <v>43005</v>
      </c>
      <c r="C4" s="119">
        <v>1341.2190000000001</v>
      </c>
      <c r="D4" s="88">
        <v>2400</v>
      </c>
      <c r="E4" s="88">
        <v>1260</v>
      </c>
      <c r="F4" s="22">
        <v>7.51</v>
      </c>
      <c r="G4" s="22">
        <v>0.85499999999999998</v>
      </c>
      <c r="H4" s="22">
        <v>3.56</v>
      </c>
      <c r="I4" s="22">
        <v>1270</v>
      </c>
      <c r="J4" s="72">
        <f t="shared" si="0"/>
        <v>0.34349999999999997</v>
      </c>
      <c r="K4" s="24">
        <f>0.5* 0.005</f>
        <v>2.5000000000000001E-3</v>
      </c>
      <c r="L4" s="22">
        <v>0.34599999999999997</v>
      </c>
      <c r="M4" s="24">
        <f>0.5* 0.5</f>
        <v>0.25</v>
      </c>
      <c r="N4" s="86">
        <v>0.873</v>
      </c>
      <c r="O4" s="22">
        <v>2.7299999999999998E-3</v>
      </c>
      <c r="P4" s="24">
        <f>0.5* 0.02</f>
        <v>0.01</v>
      </c>
    </row>
    <row r="5" spans="1:16">
      <c r="A5" s="20" t="s">
        <v>37</v>
      </c>
      <c r="B5" s="21">
        <v>43096.5</v>
      </c>
      <c r="C5" s="126">
        <v>1341.049</v>
      </c>
      <c r="D5" s="88">
        <v>2500</v>
      </c>
      <c r="E5" s="88">
        <v>1300</v>
      </c>
      <c r="F5" s="22">
        <v>7.71</v>
      </c>
      <c r="G5" s="22">
        <v>0.44700000000000001</v>
      </c>
      <c r="H5" s="22">
        <v>3.17</v>
      </c>
      <c r="I5" s="22">
        <v>1330</v>
      </c>
      <c r="J5" s="72">
        <f t="shared" si="0"/>
        <v>0.20050000000000001</v>
      </c>
      <c r="K5" s="24">
        <f>0.5* 0.005</f>
        <v>2.5000000000000001E-3</v>
      </c>
      <c r="L5" s="22">
        <v>0.20300000000000001</v>
      </c>
      <c r="M5" s="24">
        <f>0.5* 0.5</f>
        <v>0.25</v>
      </c>
      <c r="N5" s="86">
        <v>1.08</v>
      </c>
      <c r="O5" s="22">
        <v>3.82E-3</v>
      </c>
      <c r="P5" s="24">
        <f>0.5* 0.02</f>
        <v>0.01</v>
      </c>
    </row>
    <row r="6" spans="1:16">
      <c r="A6" s="14"/>
      <c r="B6" s="15" t="s">
        <v>100</v>
      </c>
      <c r="C6" s="30">
        <f>MIN(C2:C5)</f>
        <v>1341.049</v>
      </c>
      <c r="D6" s="16">
        <f t="shared" ref="D6:P6" si="1">MIN(D2:D5)</f>
        <v>2390</v>
      </c>
      <c r="E6" s="16">
        <f t="shared" si="1"/>
        <v>1210</v>
      </c>
      <c r="F6" s="30">
        <f t="shared" si="1"/>
        <v>7.35</v>
      </c>
      <c r="G6" s="31">
        <f t="shared" si="1"/>
        <v>0.44700000000000001</v>
      </c>
      <c r="H6" s="31">
        <f t="shared" si="1"/>
        <v>2.75</v>
      </c>
      <c r="I6" s="30">
        <f t="shared" si="1"/>
        <v>1230</v>
      </c>
      <c r="J6" s="64">
        <f t="shared" si="1"/>
        <v>0.20050000000000001</v>
      </c>
      <c r="K6" s="31">
        <f t="shared" si="1"/>
        <v>2.5000000000000001E-3</v>
      </c>
      <c r="L6" s="31">
        <f t="shared" si="1"/>
        <v>0.20300000000000001</v>
      </c>
      <c r="M6" s="30">
        <f t="shared" si="1"/>
        <v>0.25</v>
      </c>
      <c r="N6" s="30">
        <f t="shared" si="1"/>
        <v>0.79500000000000004</v>
      </c>
      <c r="O6" s="38">
        <f t="shared" si="1"/>
        <v>1.8799999999999999E-3</v>
      </c>
      <c r="P6" s="31">
        <f t="shared" si="1"/>
        <v>6.0000000000000001E-3</v>
      </c>
    </row>
    <row r="7" spans="1:16">
      <c r="A7" s="14"/>
      <c r="B7" s="15" t="s">
        <v>101</v>
      </c>
      <c r="C7" s="30">
        <f>MAX(C2:C5)</f>
        <v>1341.6290000000001</v>
      </c>
      <c r="D7" s="16">
        <f t="shared" ref="D7:P7" si="2">MAX(D2:D5)</f>
        <v>2500</v>
      </c>
      <c r="E7" s="16">
        <f t="shared" si="2"/>
        <v>1300</v>
      </c>
      <c r="F7" s="30">
        <f t="shared" si="2"/>
        <v>7.71</v>
      </c>
      <c r="G7" s="31">
        <f t="shared" si="2"/>
        <v>1.04</v>
      </c>
      <c r="H7" s="31">
        <f t="shared" si="2"/>
        <v>3.68</v>
      </c>
      <c r="I7" s="30">
        <f t="shared" si="2"/>
        <v>1330</v>
      </c>
      <c r="J7" s="64">
        <f t="shared" si="2"/>
        <v>0.34349999999999997</v>
      </c>
      <c r="K7" s="31">
        <f t="shared" si="2"/>
        <v>2.5000000000000001E-3</v>
      </c>
      <c r="L7" s="31">
        <f t="shared" si="2"/>
        <v>0.34599999999999997</v>
      </c>
      <c r="M7" s="30">
        <f t="shared" si="2"/>
        <v>1.38</v>
      </c>
      <c r="N7" s="30">
        <f t="shared" si="2"/>
        <v>1.08</v>
      </c>
      <c r="O7" s="38">
        <f t="shared" si="2"/>
        <v>3.82E-3</v>
      </c>
      <c r="P7" s="31">
        <f t="shared" si="2"/>
        <v>0.01</v>
      </c>
    </row>
    <row r="8" spans="1:16">
      <c r="A8" s="14"/>
      <c r="B8" s="15" t="s">
        <v>102</v>
      </c>
      <c r="C8" s="30">
        <f>AVERAGE(C2:C5)</f>
        <v>1341.2665000000002</v>
      </c>
      <c r="D8" s="16">
        <f t="shared" ref="D8:P8" si="3">AVERAGE(D2:D5)</f>
        <v>2427.5</v>
      </c>
      <c r="E8" s="16">
        <f t="shared" si="3"/>
        <v>1255</v>
      </c>
      <c r="F8" s="30">
        <f t="shared" si="3"/>
        <v>7.5500000000000007</v>
      </c>
      <c r="G8" s="31">
        <f t="shared" si="3"/>
        <v>0.71325000000000005</v>
      </c>
      <c r="H8" s="31">
        <f t="shared" si="3"/>
        <v>3.29</v>
      </c>
      <c r="I8" s="30">
        <f t="shared" si="3"/>
        <v>1282.5</v>
      </c>
      <c r="J8" s="64">
        <f t="shared" si="3"/>
        <v>0.29149999999999998</v>
      </c>
      <c r="K8" s="31">
        <f t="shared" si="3"/>
        <v>2.5000000000000001E-3</v>
      </c>
      <c r="L8" s="31">
        <f t="shared" si="3"/>
        <v>0.29399999999999998</v>
      </c>
      <c r="M8" s="30">
        <f t="shared" si="3"/>
        <v>0.53249999999999997</v>
      </c>
      <c r="N8" s="30">
        <f t="shared" si="3"/>
        <v>0.90500000000000003</v>
      </c>
      <c r="O8" s="38">
        <f t="shared" si="3"/>
        <v>2.8674999999999998E-3</v>
      </c>
      <c r="P8" s="31">
        <f t="shared" si="3"/>
        <v>9.0000000000000011E-3</v>
      </c>
    </row>
    <row r="9" spans="1:16">
      <c r="A9" s="14"/>
      <c r="B9" s="15" t="s">
        <v>103</v>
      </c>
      <c r="C9" s="30">
        <f>_xlfn.STDEV.P(C2:C5)</f>
        <v>0.21821720830406691</v>
      </c>
      <c r="D9" s="16">
        <f t="shared" ref="D9:P9" si="4">_xlfn.STDEV.P(D2:D5)</f>
        <v>43.229041164476456</v>
      </c>
      <c r="E9" s="16">
        <f t="shared" si="4"/>
        <v>32.015621187164243</v>
      </c>
      <c r="F9" s="30">
        <f t="shared" si="4"/>
        <v>0.1356465996625055</v>
      </c>
      <c r="G9" s="31">
        <f t="shared" si="4"/>
        <v>0.24426049107459005</v>
      </c>
      <c r="H9" s="31">
        <f t="shared" si="4"/>
        <v>0.36434873404473317</v>
      </c>
      <c r="I9" s="30">
        <f t="shared" si="4"/>
        <v>36.996621467371853</v>
      </c>
      <c r="J9" s="64">
        <f t="shared" si="4"/>
        <v>5.4603113464343753E-2</v>
      </c>
      <c r="K9" s="31">
        <f t="shared" si="4"/>
        <v>0</v>
      </c>
      <c r="L9" s="31">
        <f t="shared" si="4"/>
        <v>5.4603113464343878E-2</v>
      </c>
      <c r="M9" s="30">
        <f t="shared" si="4"/>
        <v>0.48930435313820786</v>
      </c>
      <c r="N9" s="30">
        <f t="shared" si="4"/>
        <v>0.10587492621012769</v>
      </c>
      <c r="O9" s="38">
        <f t="shared" si="4"/>
        <v>6.9481562302527427E-4</v>
      </c>
      <c r="P9" s="31">
        <f t="shared" si="4"/>
        <v>1.7320508075688774E-3</v>
      </c>
    </row>
    <row r="10" spans="1:16" ht="12.75" customHeight="1">
      <c r="A10" s="17"/>
      <c r="B10" s="131" t="s">
        <v>112</v>
      </c>
      <c r="C10" s="130"/>
      <c r="D10" s="130"/>
      <c r="E10" s="130"/>
      <c r="F10" s="130"/>
      <c r="G10" s="130"/>
      <c r="H10" s="130"/>
      <c r="I10" s="130"/>
      <c r="J10" s="130"/>
      <c r="K10" s="130"/>
      <c r="L10" s="130"/>
      <c r="M10" s="130"/>
      <c r="N10" s="130"/>
      <c r="O10" s="130"/>
      <c r="P10" s="130"/>
    </row>
    <row r="11" spans="1:16" ht="12.75" customHeight="1">
      <c r="A11" s="17"/>
      <c r="B11" s="130" t="s">
        <v>117</v>
      </c>
      <c r="C11" s="130"/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</row>
    <row r="12" spans="1:16" ht="12.75" customHeight="1">
      <c r="A12" s="17"/>
      <c r="B12" s="130" t="s">
        <v>114</v>
      </c>
      <c r="C12" s="130"/>
      <c r="D12" s="130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</row>
    <row r="13" spans="1:16" ht="12.75" customHeight="1">
      <c r="A13" s="17"/>
      <c r="B13" s="130" t="s">
        <v>108</v>
      </c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</row>
    <row r="14" spans="1:16" ht="12.75" customHeight="1">
      <c r="A14" s="18"/>
      <c r="B14" s="130" t="s">
        <v>115</v>
      </c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</row>
    <row r="15" spans="1:16" ht="12.75" customHeight="1"/>
  </sheetData>
  <mergeCells count="5">
    <mergeCell ref="B10:P10"/>
    <mergeCell ref="B11:P11"/>
    <mergeCell ref="B12:P12"/>
    <mergeCell ref="B13:P13"/>
    <mergeCell ref="B14:P14"/>
  </mergeCells>
  <printOptions horizontalCentered="1"/>
  <pageMargins left="0.25" right="0.25" top="1.0833333333333299" bottom="0.75" header="0.3" footer="0.3"/>
  <pageSetup orientation="landscape" r:id="rId1"/>
  <headerFooter alignWithMargins="0">
    <oddHeader>&amp;LBarrick Gold Inc. - Nickel Plate Mine&amp;C&amp;"-,Regular"&amp;18
Table 22 - P34 Data&amp;RAnnual Report, 2017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1"/>
  <sheetViews>
    <sheetView view="pageLayout" zoomScaleNormal="100" workbookViewId="0">
      <selection activeCell="B33" sqref="B33"/>
    </sheetView>
  </sheetViews>
  <sheetFormatPr defaultColWidth="9.1328125" defaultRowHeight="15.75"/>
  <cols>
    <col min="1" max="1" width="13.73046875" style="19" bestFit="1" customWidth="1"/>
    <col min="2" max="2" width="11" style="23" bestFit="1" customWidth="1"/>
    <col min="3" max="4" width="6.86328125" style="19" bestFit="1" customWidth="1"/>
    <col min="5" max="5" width="5.73046875" style="19" bestFit="1" customWidth="1"/>
    <col min="6" max="6" width="6.86328125" style="19" bestFit="1" customWidth="1"/>
    <col min="7" max="7" width="6.73046875" style="19" bestFit="1" customWidth="1"/>
    <col min="8" max="8" width="6.86328125" style="19" bestFit="1" customWidth="1"/>
    <col min="9" max="9" width="8" style="19" bestFit="1" customWidth="1"/>
    <col min="10" max="10" width="8.1328125" style="19" bestFit="1" customWidth="1"/>
    <col min="11" max="11" width="7.86328125" style="19" bestFit="1" customWidth="1"/>
    <col min="12" max="13" width="8" style="19" bestFit="1" customWidth="1"/>
    <col min="14" max="14" width="6.86328125" style="19" bestFit="1" customWidth="1"/>
    <col min="15" max="15" width="9.1328125" style="19" bestFit="1" customWidth="1"/>
    <col min="16" max="16" width="6.86328125" style="19" bestFit="1" customWidth="1"/>
    <col min="17" max="17" width="8" style="19" bestFit="1" customWidth="1"/>
    <col min="18" max="16384" width="9.1328125" style="19"/>
  </cols>
  <sheetData>
    <row r="1" spans="1:17" ht="132">
      <c r="A1" s="1" t="s">
        <v>45</v>
      </c>
      <c r="B1" s="2" t="s">
        <v>46</v>
      </c>
      <c r="C1" s="5" t="s">
        <v>51</v>
      </c>
      <c r="D1" s="3" t="s">
        <v>0</v>
      </c>
      <c r="E1" s="4" t="s">
        <v>52</v>
      </c>
      <c r="F1" s="6" t="s">
        <v>56</v>
      </c>
      <c r="G1" s="7" t="s">
        <v>57</v>
      </c>
      <c r="H1" s="5" t="s">
        <v>59</v>
      </c>
      <c r="I1" s="7" t="s">
        <v>105</v>
      </c>
      <c r="J1" s="7" t="s">
        <v>60</v>
      </c>
      <c r="K1" s="7" t="s">
        <v>61</v>
      </c>
      <c r="L1" s="4" t="s">
        <v>62</v>
      </c>
      <c r="M1" s="10" t="s">
        <v>82</v>
      </c>
      <c r="N1" s="9" t="s">
        <v>85</v>
      </c>
      <c r="O1" s="10" t="s">
        <v>86</v>
      </c>
      <c r="P1" s="7" t="s">
        <v>87</v>
      </c>
      <c r="Q1" s="10" t="s">
        <v>95</v>
      </c>
    </row>
    <row r="2" spans="1:17">
      <c r="A2" s="20" t="s">
        <v>22</v>
      </c>
      <c r="B2" s="21">
        <v>42740.5</v>
      </c>
      <c r="C2" s="22">
        <v>3580</v>
      </c>
      <c r="D2" s="22">
        <v>1250</v>
      </c>
      <c r="E2" s="22">
        <v>7.67</v>
      </c>
      <c r="F2" s="22">
        <v>20.8</v>
      </c>
      <c r="G2" s="22">
        <v>0.92</v>
      </c>
      <c r="H2" s="22">
        <v>1680</v>
      </c>
      <c r="I2" s="28">
        <f>K2-J2</f>
        <v>9.4799999999999995E-2</v>
      </c>
      <c r="J2" s="22">
        <v>1.12E-2</v>
      </c>
      <c r="K2" s="22">
        <v>0.106</v>
      </c>
      <c r="L2" s="22">
        <v>202</v>
      </c>
      <c r="M2" s="22">
        <v>0.875</v>
      </c>
      <c r="N2" s="22">
        <v>0.57799999999999996</v>
      </c>
      <c r="O2" s="22">
        <v>5.3400000000000001E-3</v>
      </c>
      <c r="P2" s="22">
        <v>0.20200000000000001</v>
      </c>
      <c r="Q2" s="22">
        <v>4.4999999999999997E-3</v>
      </c>
    </row>
    <row r="3" spans="1:17">
      <c r="A3" s="20" t="s">
        <v>22</v>
      </c>
      <c r="B3" s="21">
        <v>42774.5</v>
      </c>
      <c r="C3" s="22">
        <v>4740</v>
      </c>
      <c r="D3" s="22">
        <v>1320</v>
      </c>
      <c r="E3" s="22">
        <v>7.76</v>
      </c>
      <c r="F3" s="22">
        <v>36.1</v>
      </c>
      <c r="G3" s="24">
        <f>0.5* 0.1</f>
        <v>0.05</v>
      </c>
      <c r="H3" s="22">
        <v>2040</v>
      </c>
      <c r="I3" s="28">
        <f t="shared" ref="I3:I13" si="0">K3-J3</f>
        <v>0.38410000000000005</v>
      </c>
      <c r="J3" s="22">
        <v>2.1899999999999999E-2</v>
      </c>
      <c r="K3" s="22">
        <v>0.40600000000000003</v>
      </c>
      <c r="L3" s="22">
        <v>599</v>
      </c>
      <c r="M3" s="22">
        <v>1.36</v>
      </c>
      <c r="N3" s="22">
        <v>1.07</v>
      </c>
      <c r="O3" s="22">
        <v>1.82E-3</v>
      </c>
      <c r="P3" s="22">
        <v>0.17799999999999999</v>
      </c>
      <c r="Q3" s="22">
        <v>1.8E-3</v>
      </c>
    </row>
    <row r="4" spans="1:17">
      <c r="A4" s="20" t="s">
        <v>22</v>
      </c>
      <c r="B4" s="21">
        <v>42801.5</v>
      </c>
      <c r="C4" s="22">
        <v>4460</v>
      </c>
      <c r="D4" s="22">
        <v>1360</v>
      </c>
      <c r="E4" s="22">
        <v>7.73</v>
      </c>
      <c r="F4" s="22">
        <v>17.899999999999999</v>
      </c>
      <c r="G4" s="24">
        <f>0.5* 0.1</f>
        <v>0.05</v>
      </c>
      <c r="H4" s="22">
        <v>1960</v>
      </c>
      <c r="I4" s="28">
        <f t="shared" si="0"/>
        <v>0.32099999999999995</v>
      </c>
      <c r="J4" s="22">
        <v>2.7E-2</v>
      </c>
      <c r="K4" s="22">
        <v>0.34799999999999998</v>
      </c>
      <c r="L4" s="22">
        <v>501</v>
      </c>
      <c r="M4" s="22">
        <v>1.53</v>
      </c>
      <c r="N4" s="22">
        <v>1.1299999999999999</v>
      </c>
      <c r="O4" s="22">
        <v>2.2399999999999998E-3</v>
      </c>
      <c r="P4" s="22">
        <v>0.187</v>
      </c>
      <c r="Q4" s="22">
        <v>3.5000000000000001E-3</v>
      </c>
    </row>
    <row r="5" spans="1:17">
      <c r="A5" s="20" t="s">
        <v>22</v>
      </c>
      <c r="B5" s="21">
        <v>42851.5</v>
      </c>
      <c r="C5" s="22">
        <v>1270</v>
      </c>
      <c r="D5" s="22">
        <v>475</v>
      </c>
      <c r="E5" s="22">
        <v>8.01</v>
      </c>
      <c r="F5" s="22">
        <v>0.77</v>
      </c>
      <c r="G5" s="22">
        <v>0.54800000000000004</v>
      </c>
      <c r="H5" s="22">
        <v>566</v>
      </c>
      <c r="I5" s="28">
        <f t="shared" si="0"/>
        <v>1.5299999999999998E-2</v>
      </c>
      <c r="J5" s="22">
        <v>2.4400000000000002E-2</v>
      </c>
      <c r="K5" s="22">
        <v>3.9699999999999999E-2</v>
      </c>
      <c r="L5" s="22">
        <v>4.3600000000000003</v>
      </c>
      <c r="M5" s="22">
        <v>5.7599999999999998E-2</v>
      </c>
      <c r="N5" s="22">
        <v>0.17100000000000001</v>
      </c>
      <c r="O5" s="22">
        <v>3.6099999999999999E-3</v>
      </c>
      <c r="P5" s="22">
        <v>4.1000000000000002E-2</v>
      </c>
      <c r="Q5" s="22">
        <v>2E-3</v>
      </c>
    </row>
    <row r="6" spans="1:17">
      <c r="A6" s="20" t="s">
        <v>22</v>
      </c>
      <c r="B6" s="21">
        <v>42879</v>
      </c>
      <c r="C6" s="22">
        <v>3050</v>
      </c>
      <c r="D6" s="22">
        <v>1080</v>
      </c>
      <c r="E6" s="22">
        <v>7.64</v>
      </c>
      <c r="F6" s="22">
        <v>16.100000000000001</v>
      </c>
      <c r="G6" s="22">
        <v>0.49</v>
      </c>
      <c r="H6" s="22">
        <v>1690</v>
      </c>
      <c r="I6" s="28">
        <f t="shared" si="0"/>
        <v>8.1099999999999992E-2</v>
      </c>
      <c r="J6" s="22">
        <v>1.8100000000000002E-2</v>
      </c>
      <c r="K6" s="22">
        <v>9.9199999999999997E-2</v>
      </c>
      <c r="L6" s="22">
        <v>18.8</v>
      </c>
      <c r="M6" s="22">
        <v>0.52200000000000002</v>
      </c>
      <c r="N6" s="22">
        <v>0.50800000000000001</v>
      </c>
      <c r="O6" s="22">
        <v>1.8400000000000001E-3</v>
      </c>
      <c r="P6" s="22">
        <v>5.1999999999999998E-2</v>
      </c>
      <c r="Q6" s="22">
        <v>3.0000000000000001E-3</v>
      </c>
    </row>
    <row r="7" spans="1:17">
      <c r="A7" s="20" t="s">
        <v>22</v>
      </c>
      <c r="B7" s="21">
        <v>42907.5</v>
      </c>
      <c r="C7" s="22">
        <v>2500</v>
      </c>
      <c r="D7" s="22">
        <v>972</v>
      </c>
      <c r="E7" s="22">
        <v>7.82</v>
      </c>
      <c r="F7" s="22">
        <v>1.97</v>
      </c>
      <c r="G7" s="22">
        <v>0.9</v>
      </c>
      <c r="H7" s="22">
        <v>1480</v>
      </c>
      <c r="I7" s="28">
        <f t="shared" si="0"/>
        <v>1.4700000000000005E-2</v>
      </c>
      <c r="J7" s="22">
        <v>3.2099999999999997E-2</v>
      </c>
      <c r="K7" s="22">
        <v>4.6800000000000001E-2</v>
      </c>
      <c r="L7" s="22">
        <v>0.91</v>
      </c>
      <c r="M7" s="22">
        <v>0.30299999999999999</v>
      </c>
      <c r="N7" s="22">
        <v>0.34499999999999997</v>
      </c>
      <c r="O7" s="22">
        <v>4.2300000000000003E-3</v>
      </c>
      <c r="P7" s="22">
        <v>6.2E-2</v>
      </c>
      <c r="Q7" s="22">
        <v>4.1999999999999997E-3</v>
      </c>
    </row>
    <row r="8" spans="1:17">
      <c r="A8" s="20" t="s">
        <v>22</v>
      </c>
      <c r="B8" s="21">
        <v>42942.5</v>
      </c>
      <c r="C8" s="22">
        <v>2860</v>
      </c>
      <c r="D8" s="22">
        <v>1240</v>
      </c>
      <c r="E8" s="22">
        <v>8.1999999999999993</v>
      </c>
      <c r="F8" s="22">
        <v>7.33</v>
      </c>
      <c r="G8" s="24">
        <f>0.5* 0.1</f>
        <v>0.05</v>
      </c>
      <c r="H8" s="22">
        <v>1650</v>
      </c>
      <c r="I8" s="28">
        <f t="shared" si="0"/>
        <v>1.3199999999999998E-2</v>
      </c>
      <c r="J8" s="24">
        <f>0.5* 0.005</f>
        <v>2.5000000000000001E-3</v>
      </c>
      <c r="K8" s="22">
        <v>1.5699999999999999E-2</v>
      </c>
      <c r="L8" s="22">
        <v>0.56999999999999995</v>
      </c>
      <c r="M8" s="22">
        <v>1.39</v>
      </c>
      <c r="N8" s="22">
        <v>0.2</v>
      </c>
      <c r="O8" s="22">
        <v>3.0400000000000002E-3</v>
      </c>
      <c r="P8" s="24">
        <f>0.5* 0.02</f>
        <v>0.01</v>
      </c>
      <c r="Q8" s="24">
        <f>0.5* 0.002</f>
        <v>1E-3</v>
      </c>
    </row>
    <row r="9" spans="1:17">
      <c r="A9" s="20" t="s">
        <v>22</v>
      </c>
      <c r="B9" s="21">
        <v>42970.5</v>
      </c>
      <c r="C9" s="22">
        <v>3320</v>
      </c>
      <c r="D9" s="22">
        <v>1320</v>
      </c>
      <c r="E9" s="22">
        <v>7.6</v>
      </c>
      <c r="F9" s="22">
        <v>5.93</v>
      </c>
      <c r="G9" s="24">
        <f>0.5* 0.1</f>
        <v>0.05</v>
      </c>
      <c r="H9" s="22">
        <v>2180</v>
      </c>
      <c r="I9" s="28">
        <f t="shared" si="0"/>
        <v>2.3700000000000002E-2</v>
      </c>
      <c r="J9" s="22">
        <v>1.2E-2</v>
      </c>
      <c r="K9" s="22">
        <v>3.5700000000000003E-2</v>
      </c>
      <c r="L9" s="22">
        <v>2.96</v>
      </c>
      <c r="M9" s="22">
        <v>4.41</v>
      </c>
      <c r="N9" s="22">
        <v>0.17899999999999999</v>
      </c>
      <c r="O9" s="22">
        <v>1.7799999999999999E-3</v>
      </c>
      <c r="P9" s="22">
        <v>0.23100000000000001</v>
      </c>
      <c r="Q9" s="22">
        <v>2.7000000000000001E-3</v>
      </c>
    </row>
    <row r="10" spans="1:17">
      <c r="A10" s="20" t="s">
        <v>22</v>
      </c>
      <c r="B10" s="21">
        <v>42998.5</v>
      </c>
      <c r="C10" s="22">
        <v>2950</v>
      </c>
      <c r="D10" s="22">
        <v>1250</v>
      </c>
      <c r="E10" s="22">
        <v>7.75</v>
      </c>
      <c r="F10" s="22">
        <v>9.7799999999999994</v>
      </c>
      <c r="G10" s="22">
        <v>0.13</v>
      </c>
      <c r="H10" s="22">
        <v>1890</v>
      </c>
      <c r="I10" s="28">
        <f t="shared" si="0"/>
        <v>2.0200000000000003E-2</v>
      </c>
      <c r="J10" s="22">
        <v>6.6E-3</v>
      </c>
      <c r="K10" s="22">
        <v>2.6800000000000001E-2</v>
      </c>
      <c r="L10" s="22">
        <v>6.64</v>
      </c>
      <c r="M10" s="22">
        <v>1.39</v>
      </c>
      <c r="N10" s="22">
        <v>0.221</v>
      </c>
      <c r="O10" s="22">
        <v>7.5000000000000002E-4</v>
      </c>
      <c r="P10" s="22">
        <v>0.503</v>
      </c>
      <c r="Q10" s="22">
        <v>9.1000000000000004E-3</v>
      </c>
    </row>
    <row r="11" spans="1:17">
      <c r="A11" s="20" t="s">
        <v>22</v>
      </c>
      <c r="B11" s="21">
        <v>43033</v>
      </c>
      <c r="C11" s="22">
        <v>2490</v>
      </c>
      <c r="D11" s="22">
        <v>996</v>
      </c>
      <c r="E11" s="22">
        <v>8.06</v>
      </c>
      <c r="F11" s="22">
        <v>8.85</v>
      </c>
      <c r="G11" s="22">
        <v>4.91</v>
      </c>
      <c r="H11" s="22">
        <v>1270</v>
      </c>
      <c r="I11" s="28">
        <f t="shared" si="0"/>
        <v>6.1700000000000005E-2</v>
      </c>
      <c r="J11" s="22">
        <v>1.9900000000000001E-2</v>
      </c>
      <c r="K11" s="22">
        <v>8.1600000000000006E-2</v>
      </c>
      <c r="L11" s="22">
        <v>121</v>
      </c>
      <c r="M11" s="22">
        <v>0.56399999999999995</v>
      </c>
      <c r="N11" s="22">
        <v>0.42799999999999999</v>
      </c>
      <c r="O11" s="22">
        <v>4.1200000000000004E-3</v>
      </c>
      <c r="P11" s="22">
        <v>8.4000000000000005E-2</v>
      </c>
      <c r="Q11" s="22">
        <v>5.1000000000000004E-3</v>
      </c>
    </row>
    <row r="12" spans="1:17">
      <c r="A12" s="20" t="s">
        <v>22</v>
      </c>
      <c r="B12" s="21">
        <v>43061</v>
      </c>
      <c r="C12" s="22">
        <v>4470</v>
      </c>
      <c r="D12" s="22">
        <v>1490</v>
      </c>
      <c r="E12" s="22">
        <v>8.16</v>
      </c>
      <c r="F12" s="22">
        <v>24.3</v>
      </c>
      <c r="G12" s="22">
        <v>1.21</v>
      </c>
      <c r="H12" s="22">
        <v>2110</v>
      </c>
      <c r="I12" s="28">
        <f t="shared" si="0"/>
        <v>0.32579999999999998</v>
      </c>
      <c r="J12" s="22">
        <v>2.3199999999999998E-2</v>
      </c>
      <c r="K12" s="22">
        <v>0.34899999999999998</v>
      </c>
      <c r="L12" s="22">
        <v>514</v>
      </c>
      <c r="M12" s="22">
        <v>0.47299999999999998</v>
      </c>
      <c r="N12" s="22">
        <v>1.3</v>
      </c>
      <c r="O12" s="22">
        <v>6.4999999999999997E-3</v>
      </c>
      <c r="P12" s="22">
        <v>0.16400000000000001</v>
      </c>
      <c r="Q12" s="22">
        <v>1.2500000000000001E-2</v>
      </c>
    </row>
    <row r="13" spans="1:17">
      <c r="A13" s="20" t="s">
        <v>22</v>
      </c>
      <c r="B13" s="21">
        <v>43089</v>
      </c>
      <c r="C13" s="22">
        <v>4370</v>
      </c>
      <c r="D13" s="22">
        <v>1370</v>
      </c>
      <c r="E13" s="22">
        <v>7.65</v>
      </c>
      <c r="F13" s="22">
        <v>32.4</v>
      </c>
      <c r="G13" s="22">
        <v>0.28999999999999998</v>
      </c>
      <c r="H13" s="22">
        <v>2170</v>
      </c>
      <c r="I13" s="28">
        <f t="shared" si="0"/>
        <v>0.36160000000000003</v>
      </c>
      <c r="J13" s="22">
        <v>2.1399999999999999E-2</v>
      </c>
      <c r="K13" s="22">
        <v>0.38300000000000001</v>
      </c>
      <c r="L13" s="22">
        <v>477</v>
      </c>
      <c r="M13" s="22">
        <v>0.58599999999999997</v>
      </c>
      <c r="N13" s="22">
        <v>1.1399999999999999</v>
      </c>
      <c r="O13" s="22">
        <v>5.5999999999999999E-3</v>
      </c>
      <c r="P13" s="22">
        <v>0.51600000000000001</v>
      </c>
      <c r="Q13" s="22">
        <v>6.3E-3</v>
      </c>
    </row>
    <row r="14" spans="1:17">
      <c r="A14" s="14"/>
      <c r="B14" s="15" t="s">
        <v>100</v>
      </c>
      <c r="C14" s="16">
        <f t="shared" ref="C14:Q14" si="1">MIN(C2:C13)</f>
        <v>1270</v>
      </c>
      <c r="D14" s="16">
        <f t="shared" si="1"/>
        <v>475</v>
      </c>
      <c r="E14" s="30">
        <f t="shared" si="1"/>
        <v>7.6</v>
      </c>
      <c r="F14" s="30">
        <f t="shared" si="1"/>
        <v>0.77</v>
      </c>
      <c r="G14" s="30">
        <f t="shared" si="1"/>
        <v>0.05</v>
      </c>
      <c r="H14" s="16">
        <f t="shared" si="1"/>
        <v>566</v>
      </c>
      <c r="I14" s="31">
        <f t="shared" si="1"/>
        <v>1.3199999999999998E-2</v>
      </c>
      <c r="J14" s="31">
        <f t="shared" si="1"/>
        <v>2.5000000000000001E-3</v>
      </c>
      <c r="K14" s="37">
        <f t="shared" si="1"/>
        <v>1.5699999999999999E-2</v>
      </c>
      <c r="L14" s="30">
        <f t="shared" si="1"/>
        <v>0.56999999999999995</v>
      </c>
      <c r="M14" s="31">
        <f t="shared" si="1"/>
        <v>5.7599999999999998E-2</v>
      </c>
      <c r="N14" s="37">
        <f t="shared" si="1"/>
        <v>0.17100000000000001</v>
      </c>
      <c r="O14" s="38">
        <f t="shared" si="1"/>
        <v>7.5000000000000002E-4</v>
      </c>
      <c r="P14" s="37">
        <f t="shared" si="1"/>
        <v>0.01</v>
      </c>
      <c r="Q14" s="31">
        <f t="shared" si="1"/>
        <v>1E-3</v>
      </c>
    </row>
    <row r="15" spans="1:17">
      <c r="A15" s="14"/>
      <c r="B15" s="15" t="s">
        <v>101</v>
      </c>
      <c r="C15" s="16">
        <f t="shared" ref="C15:Q15" si="2">MAX(C2:C13)</f>
        <v>4740</v>
      </c>
      <c r="D15" s="16">
        <f t="shared" si="2"/>
        <v>1490</v>
      </c>
      <c r="E15" s="30">
        <f t="shared" si="2"/>
        <v>8.1999999999999993</v>
      </c>
      <c r="F15" s="30">
        <f t="shared" si="2"/>
        <v>36.1</v>
      </c>
      <c r="G15" s="30">
        <f t="shared" si="2"/>
        <v>4.91</v>
      </c>
      <c r="H15" s="16">
        <f t="shared" si="2"/>
        <v>2180</v>
      </c>
      <c r="I15" s="31">
        <f t="shared" si="2"/>
        <v>0.38410000000000005</v>
      </c>
      <c r="J15" s="31">
        <f t="shared" si="2"/>
        <v>3.2099999999999997E-2</v>
      </c>
      <c r="K15" s="37">
        <f t="shared" si="2"/>
        <v>0.40600000000000003</v>
      </c>
      <c r="L15" s="30">
        <f t="shared" si="2"/>
        <v>599</v>
      </c>
      <c r="M15" s="31">
        <f t="shared" si="2"/>
        <v>4.41</v>
      </c>
      <c r="N15" s="37">
        <f t="shared" si="2"/>
        <v>1.3</v>
      </c>
      <c r="O15" s="38">
        <f t="shared" si="2"/>
        <v>6.4999999999999997E-3</v>
      </c>
      <c r="P15" s="37">
        <f t="shared" si="2"/>
        <v>0.51600000000000001</v>
      </c>
      <c r="Q15" s="31">
        <f t="shared" si="2"/>
        <v>1.2500000000000001E-2</v>
      </c>
    </row>
    <row r="16" spans="1:17">
      <c r="A16" s="14"/>
      <c r="B16" s="15" t="s">
        <v>102</v>
      </c>
      <c r="C16" s="16">
        <f t="shared" ref="C16:Q16" si="3">AVERAGE(C2:C13)</f>
        <v>3338.3333333333335</v>
      </c>
      <c r="D16" s="16">
        <f t="shared" si="3"/>
        <v>1176.9166666666667</v>
      </c>
      <c r="E16" s="30">
        <f t="shared" si="3"/>
        <v>7.8375000000000012</v>
      </c>
      <c r="F16" s="30">
        <f t="shared" si="3"/>
        <v>15.185833333333335</v>
      </c>
      <c r="G16" s="30">
        <f t="shared" si="3"/>
        <v>0.79983333333333329</v>
      </c>
      <c r="H16" s="16">
        <f t="shared" si="3"/>
        <v>1723.8333333333333</v>
      </c>
      <c r="I16" s="31">
        <f t="shared" si="3"/>
        <v>0.1431</v>
      </c>
      <c r="J16" s="31">
        <f t="shared" si="3"/>
        <v>1.8358333333333334E-2</v>
      </c>
      <c r="K16" s="37">
        <f t="shared" si="3"/>
        <v>0.16145833333333331</v>
      </c>
      <c r="L16" s="30">
        <f t="shared" si="3"/>
        <v>204.01999999999998</v>
      </c>
      <c r="M16" s="31">
        <f t="shared" si="3"/>
        <v>1.1217166666666669</v>
      </c>
      <c r="N16" s="37">
        <f t="shared" si="3"/>
        <v>0.60583333333333333</v>
      </c>
      <c r="O16" s="38">
        <f t="shared" si="3"/>
        <v>3.4058333333333336E-3</v>
      </c>
      <c r="P16" s="37">
        <f t="shared" si="3"/>
        <v>0.18583333333333332</v>
      </c>
      <c r="Q16" s="31">
        <f t="shared" si="3"/>
        <v>4.6416666666666663E-3</v>
      </c>
    </row>
    <row r="17" spans="1:17">
      <c r="A17" s="14"/>
      <c r="B17" s="15" t="s">
        <v>103</v>
      </c>
      <c r="C17" s="16">
        <f t="shared" ref="C17:Q17" si="4">_xlfn.STDEV.P(C2:C13)</f>
        <v>991.20157160668157</v>
      </c>
      <c r="D17" s="16">
        <f t="shared" si="4"/>
        <v>258.39745172032087</v>
      </c>
      <c r="E17" s="30">
        <f t="shared" si="4"/>
        <v>0.20388415828602277</v>
      </c>
      <c r="F17" s="30">
        <f t="shared" si="4"/>
        <v>11.014173034726163</v>
      </c>
      <c r="G17" s="30">
        <f t="shared" si="4"/>
        <v>1.2975362444092093</v>
      </c>
      <c r="H17" s="16">
        <f t="shared" si="4"/>
        <v>442.92020224364973</v>
      </c>
      <c r="I17" s="31">
        <f t="shared" si="4"/>
        <v>0.14796057470375906</v>
      </c>
      <c r="J17" s="31">
        <f t="shared" si="4"/>
        <v>8.3121856665714262E-3</v>
      </c>
      <c r="K17" s="37">
        <f t="shared" si="4"/>
        <v>0.15147750910247004</v>
      </c>
      <c r="L17" s="30">
        <f t="shared" si="4"/>
        <v>234.14890721504551</v>
      </c>
      <c r="M17" s="31">
        <f t="shared" si="4"/>
        <v>1.0962921370338388</v>
      </c>
      <c r="N17" s="37">
        <f t="shared" si="4"/>
        <v>0.41346822395708022</v>
      </c>
      <c r="O17" s="38">
        <f t="shared" si="4"/>
        <v>1.7203849294723421E-3</v>
      </c>
      <c r="P17" s="37">
        <f t="shared" si="4"/>
        <v>0.160196667325579</v>
      </c>
      <c r="Q17" s="31">
        <f t="shared" si="4"/>
        <v>3.1739718370241135E-3</v>
      </c>
    </row>
    <row r="18" spans="1:17" s="35" customFormat="1" ht="13.15">
      <c r="A18" s="34"/>
      <c r="B18" s="131" t="s">
        <v>113</v>
      </c>
      <c r="C18" s="130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</row>
    <row r="19" spans="1:17" s="35" customFormat="1" ht="25.5" customHeight="1">
      <c r="A19" s="34"/>
      <c r="B19" s="130" t="s">
        <v>117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</row>
    <row r="20" spans="1:17" s="35" customFormat="1" ht="13.15">
      <c r="A20" s="34"/>
      <c r="B20" s="130" t="s">
        <v>114</v>
      </c>
      <c r="C20" s="130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</row>
    <row r="21" spans="1:17" s="35" customFormat="1" ht="25.5" customHeight="1">
      <c r="A21" s="36"/>
      <c r="B21" s="130" t="s">
        <v>115</v>
      </c>
      <c r="C21" s="130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</row>
  </sheetData>
  <mergeCells count="4">
    <mergeCell ref="B21:Q21"/>
    <mergeCell ref="B18:Q18"/>
    <mergeCell ref="B20:Q20"/>
    <mergeCell ref="B19:Q19"/>
  </mergeCells>
  <printOptions horizontalCentered="1"/>
  <pageMargins left="0.25" right="0.25" top="1.0833333333333299" bottom="0.75" header="0.3" footer="0.3"/>
  <pageSetup orientation="landscape" r:id="rId1"/>
  <headerFooter alignWithMargins="0">
    <oddHeader>&amp;LBarrick Gold Inc. - Nickel Plate Mine&amp;C&amp;"-,Regular"&amp;18
Table 5 - BARGE PUMP (E207524) Data&amp;RAnnual Report, 2017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P15"/>
  <sheetViews>
    <sheetView zoomScaleNormal="100" workbookViewId="0">
      <selection activeCell="B33" sqref="B33"/>
    </sheetView>
  </sheetViews>
  <sheetFormatPr defaultColWidth="9.1328125" defaultRowHeight="15.75"/>
  <cols>
    <col min="1" max="1" width="4.3984375" style="19" customWidth="1"/>
    <col min="2" max="2" width="11" style="23" customWidth="1"/>
    <col min="3" max="3" width="9.73046875" style="19" bestFit="1" customWidth="1"/>
    <col min="4" max="5" width="6.86328125" style="89" customWidth="1"/>
    <col min="6" max="6" width="5.73046875" style="19" customWidth="1"/>
    <col min="7" max="8" width="9.1328125" style="19" customWidth="1"/>
    <col min="9" max="9" width="9.73046875" style="19" customWidth="1"/>
    <col min="10" max="10" width="7.265625" style="74" customWidth="1"/>
    <col min="11" max="12" width="8.1328125" style="19" customWidth="1"/>
    <col min="13" max="13" width="9.73046875" style="19" customWidth="1"/>
    <col min="14" max="14" width="5.73046875" style="87" customWidth="1"/>
    <col min="15" max="15" width="9.265625" style="19" customWidth="1"/>
    <col min="16" max="16" width="8" style="19" customWidth="1"/>
    <col min="17" max="18" width="9.1328125" style="19"/>
    <col min="19" max="19" width="11.3984375" style="19" bestFit="1" customWidth="1"/>
    <col min="20" max="16384" width="9.1328125" style="19"/>
  </cols>
  <sheetData>
    <row r="1" spans="1:16" ht="132">
      <c r="A1" s="1" t="s">
        <v>45</v>
      </c>
      <c r="B1" s="2" t="s">
        <v>46</v>
      </c>
      <c r="C1" s="4" t="s">
        <v>49</v>
      </c>
      <c r="D1" s="71" t="s">
        <v>51</v>
      </c>
      <c r="E1" s="71" t="s">
        <v>0</v>
      </c>
      <c r="F1" s="4" t="s">
        <v>52</v>
      </c>
      <c r="G1" s="5" t="s">
        <v>56</v>
      </c>
      <c r="H1" s="7" t="s">
        <v>57</v>
      </c>
      <c r="I1" s="5" t="s">
        <v>59</v>
      </c>
      <c r="J1" s="73" t="s">
        <v>105</v>
      </c>
      <c r="K1" s="7" t="s">
        <v>60</v>
      </c>
      <c r="L1" s="7" t="s">
        <v>61</v>
      </c>
      <c r="M1" s="4" t="s">
        <v>62</v>
      </c>
      <c r="N1" s="4" t="s">
        <v>85</v>
      </c>
      <c r="O1" s="10" t="s">
        <v>86</v>
      </c>
      <c r="P1" s="7" t="s">
        <v>87</v>
      </c>
    </row>
    <row r="2" spans="1:16">
      <c r="A2" s="20" t="s">
        <v>41</v>
      </c>
      <c r="B2" s="21">
        <v>42775</v>
      </c>
      <c r="C2" s="139" t="s">
        <v>39</v>
      </c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1"/>
    </row>
    <row r="3" spans="1:16">
      <c r="A3" s="20" t="s">
        <v>41</v>
      </c>
      <c r="B3" s="21">
        <v>42914.5</v>
      </c>
      <c r="C3" s="119">
        <v>1335.1779999999999</v>
      </c>
      <c r="D3" s="88">
        <v>1300</v>
      </c>
      <c r="E3" s="88">
        <v>14</v>
      </c>
      <c r="F3" s="22">
        <v>7.43</v>
      </c>
      <c r="G3" s="22">
        <v>4.7</v>
      </c>
      <c r="H3" s="22">
        <v>9.8000000000000004E-2</v>
      </c>
      <c r="I3" s="22">
        <v>355</v>
      </c>
      <c r="J3" s="72">
        <f t="shared" ref="J3:J5" si="0">L3-K3</f>
        <v>4.6899999999999997E-2</v>
      </c>
      <c r="K3" s="24">
        <f>0.5* 0.005</f>
        <v>2.5000000000000001E-3</v>
      </c>
      <c r="L3" s="22">
        <v>4.9399999999999999E-2</v>
      </c>
      <c r="M3" s="22">
        <v>0.66</v>
      </c>
      <c r="N3" s="86">
        <v>0.107</v>
      </c>
      <c r="O3" s="22">
        <v>7.7999999999999999E-4</v>
      </c>
      <c r="P3" s="22">
        <v>1.4E-2</v>
      </c>
    </row>
    <row r="4" spans="1:16">
      <c r="A4" s="20" t="s">
        <v>41</v>
      </c>
      <c r="B4" s="21">
        <v>42970.5</v>
      </c>
      <c r="C4" s="26" t="s">
        <v>96</v>
      </c>
      <c r="D4" s="88">
        <v>1180</v>
      </c>
      <c r="E4" s="88">
        <v>561</v>
      </c>
      <c r="F4" s="22">
        <v>7.87</v>
      </c>
      <c r="G4" s="22">
        <v>5.38</v>
      </c>
      <c r="H4" s="22">
        <v>0.45700000000000002</v>
      </c>
      <c r="I4" s="22">
        <v>216</v>
      </c>
      <c r="J4" s="72">
        <f t="shared" si="0"/>
        <v>4.58E-2</v>
      </c>
      <c r="K4" s="24">
        <f>0.5* 0.005</f>
        <v>2.5000000000000001E-3</v>
      </c>
      <c r="L4" s="22">
        <v>4.8300000000000003E-2</v>
      </c>
      <c r="M4" s="22">
        <v>0.76</v>
      </c>
      <c r="N4" s="86">
        <v>0.11899999999999999</v>
      </c>
      <c r="O4" s="24">
        <f>0.5* 0.0002</f>
        <v>1E-4</v>
      </c>
      <c r="P4" s="22">
        <v>2.1999999999999999E-2</v>
      </c>
    </row>
    <row r="5" spans="1:16">
      <c r="A5" s="20" t="s">
        <v>41</v>
      </c>
      <c r="B5" s="21">
        <v>43061</v>
      </c>
      <c r="C5" s="126">
        <v>1334.7179999999998</v>
      </c>
      <c r="D5" s="88">
        <v>4200</v>
      </c>
      <c r="E5" s="88">
        <v>1340</v>
      </c>
      <c r="F5" s="22">
        <v>7.73</v>
      </c>
      <c r="G5" s="22">
        <v>11.9</v>
      </c>
      <c r="H5" s="22">
        <v>0.5</v>
      </c>
      <c r="I5" s="22">
        <v>1570</v>
      </c>
      <c r="J5" s="72">
        <f t="shared" si="0"/>
        <v>0.46899999999999997</v>
      </c>
      <c r="K5" s="22">
        <v>8.9999999999999993E-3</v>
      </c>
      <c r="L5" s="22">
        <v>0.47799999999999998</v>
      </c>
      <c r="M5" s="22">
        <v>774</v>
      </c>
      <c r="N5" s="86">
        <v>1.66</v>
      </c>
      <c r="O5" s="24">
        <f>0.5* 0.001</f>
        <v>5.0000000000000001E-4</v>
      </c>
      <c r="P5" s="22">
        <v>0.115</v>
      </c>
    </row>
    <row r="6" spans="1:16">
      <c r="A6" s="14"/>
      <c r="B6" s="15" t="s">
        <v>100</v>
      </c>
      <c r="C6" s="30">
        <f t="shared" ref="C6:P6" si="1">MIN(C2:C5)</f>
        <v>1334.7179999999998</v>
      </c>
      <c r="D6" s="16">
        <f t="shared" si="1"/>
        <v>1180</v>
      </c>
      <c r="E6" s="16">
        <f t="shared" si="1"/>
        <v>14</v>
      </c>
      <c r="F6" s="30">
        <f t="shared" si="1"/>
        <v>7.43</v>
      </c>
      <c r="G6" s="31">
        <f t="shared" si="1"/>
        <v>4.7</v>
      </c>
      <c r="H6" s="31">
        <f t="shared" si="1"/>
        <v>9.8000000000000004E-2</v>
      </c>
      <c r="I6" s="30">
        <f t="shared" si="1"/>
        <v>216</v>
      </c>
      <c r="J6" s="64">
        <f t="shared" si="1"/>
        <v>4.58E-2</v>
      </c>
      <c r="K6" s="31">
        <f t="shared" si="1"/>
        <v>2.5000000000000001E-3</v>
      </c>
      <c r="L6" s="31">
        <f t="shared" si="1"/>
        <v>4.8300000000000003E-2</v>
      </c>
      <c r="M6" s="30">
        <f t="shared" si="1"/>
        <v>0.66</v>
      </c>
      <c r="N6" s="30">
        <f t="shared" si="1"/>
        <v>0.107</v>
      </c>
      <c r="O6" s="38">
        <f t="shared" si="1"/>
        <v>1E-4</v>
      </c>
      <c r="P6" s="31">
        <f t="shared" si="1"/>
        <v>1.4E-2</v>
      </c>
    </row>
    <row r="7" spans="1:16">
      <c r="A7" s="14"/>
      <c r="B7" s="15" t="s">
        <v>101</v>
      </c>
      <c r="C7" s="30">
        <f t="shared" ref="C7:P7" si="2">MAX(C2:C5)</f>
        <v>1335.1779999999999</v>
      </c>
      <c r="D7" s="16">
        <f t="shared" si="2"/>
        <v>4200</v>
      </c>
      <c r="E7" s="16">
        <f t="shared" si="2"/>
        <v>1340</v>
      </c>
      <c r="F7" s="30">
        <f t="shared" si="2"/>
        <v>7.87</v>
      </c>
      <c r="G7" s="31">
        <f t="shared" si="2"/>
        <v>11.9</v>
      </c>
      <c r="H7" s="31">
        <f t="shared" si="2"/>
        <v>0.5</v>
      </c>
      <c r="I7" s="30">
        <f t="shared" si="2"/>
        <v>1570</v>
      </c>
      <c r="J7" s="64">
        <f t="shared" si="2"/>
        <v>0.46899999999999997</v>
      </c>
      <c r="K7" s="31">
        <f t="shared" si="2"/>
        <v>8.9999999999999993E-3</v>
      </c>
      <c r="L7" s="31">
        <f t="shared" si="2"/>
        <v>0.47799999999999998</v>
      </c>
      <c r="M7" s="30">
        <f t="shared" si="2"/>
        <v>774</v>
      </c>
      <c r="N7" s="30">
        <f t="shared" si="2"/>
        <v>1.66</v>
      </c>
      <c r="O7" s="38">
        <f t="shared" si="2"/>
        <v>7.7999999999999999E-4</v>
      </c>
      <c r="P7" s="31">
        <f t="shared" si="2"/>
        <v>0.115</v>
      </c>
    </row>
    <row r="8" spans="1:16">
      <c r="A8" s="14"/>
      <c r="B8" s="15" t="s">
        <v>102</v>
      </c>
      <c r="C8" s="30">
        <f t="shared" ref="C8:P8" si="3">AVERAGE(C2:C5)</f>
        <v>1334.9479999999999</v>
      </c>
      <c r="D8" s="16">
        <f t="shared" si="3"/>
        <v>2226.6666666666665</v>
      </c>
      <c r="E8" s="16">
        <f t="shared" si="3"/>
        <v>638.33333333333337</v>
      </c>
      <c r="F8" s="30">
        <f t="shared" si="3"/>
        <v>7.6766666666666667</v>
      </c>
      <c r="G8" s="31">
        <f t="shared" si="3"/>
        <v>7.3266666666666671</v>
      </c>
      <c r="H8" s="31">
        <f t="shared" si="3"/>
        <v>0.35166666666666674</v>
      </c>
      <c r="I8" s="30">
        <f t="shared" si="3"/>
        <v>713.66666666666663</v>
      </c>
      <c r="J8" s="64">
        <f t="shared" si="3"/>
        <v>0.18723333333333333</v>
      </c>
      <c r="K8" s="31">
        <f t="shared" si="3"/>
        <v>4.6666666666666662E-3</v>
      </c>
      <c r="L8" s="31">
        <f t="shared" si="3"/>
        <v>0.19189999999999999</v>
      </c>
      <c r="M8" s="30">
        <f t="shared" si="3"/>
        <v>258.4733333333333</v>
      </c>
      <c r="N8" s="30">
        <f t="shared" si="3"/>
        <v>0.6286666666666666</v>
      </c>
      <c r="O8" s="38">
        <f t="shared" si="3"/>
        <v>4.6000000000000007E-4</v>
      </c>
      <c r="P8" s="31">
        <f t="shared" si="3"/>
        <v>5.0333333333333334E-2</v>
      </c>
    </row>
    <row r="9" spans="1:16">
      <c r="A9" s="14"/>
      <c r="B9" s="15" t="s">
        <v>103</v>
      </c>
      <c r="C9" s="30">
        <f t="shared" ref="C9:P9" si="4">_xlfn.STDEV.P(C2:C5)</f>
        <v>0.23000000000001819</v>
      </c>
      <c r="D9" s="16">
        <f t="shared" si="4"/>
        <v>1396.2171114200764</v>
      </c>
      <c r="E9" s="16">
        <f t="shared" si="4"/>
        <v>544.09210821534828</v>
      </c>
      <c r="F9" s="30">
        <f t="shared" si="4"/>
        <v>0.18354533197248293</v>
      </c>
      <c r="G9" s="31">
        <f t="shared" si="4"/>
        <v>3.2457288173160062</v>
      </c>
      <c r="H9" s="31">
        <f t="shared" si="4"/>
        <v>0.18022640082839006</v>
      </c>
      <c r="I9" s="30">
        <f t="shared" si="4"/>
        <v>608.17230745534243</v>
      </c>
      <c r="J9" s="64">
        <f t="shared" si="4"/>
        <v>0.19923962680372817</v>
      </c>
      <c r="K9" s="31">
        <f t="shared" si="4"/>
        <v>3.0641293851417064E-3</v>
      </c>
      <c r="L9" s="31">
        <f t="shared" si="4"/>
        <v>0.20230374852351768</v>
      </c>
      <c r="M9" s="30">
        <f t="shared" si="4"/>
        <v>364.5324041685306</v>
      </c>
      <c r="N9" s="30">
        <f t="shared" si="4"/>
        <v>0.72927924845166281</v>
      </c>
      <c r="O9" s="38">
        <f t="shared" si="4"/>
        <v>2.7904599381941799E-4</v>
      </c>
      <c r="P9" s="31">
        <f t="shared" si="4"/>
        <v>4.5842726310239841E-2</v>
      </c>
    </row>
    <row r="10" spans="1:16" ht="12.75" customHeight="1">
      <c r="A10" s="17"/>
      <c r="B10" s="131" t="s">
        <v>112</v>
      </c>
      <c r="C10" s="130"/>
      <c r="D10" s="130"/>
      <c r="E10" s="130"/>
      <c r="F10" s="130"/>
      <c r="G10" s="130"/>
      <c r="H10" s="130"/>
      <c r="I10" s="130"/>
      <c r="J10" s="130"/>
      <c r="K10" s="130"/>
      <c r="L10" s="130"/>
      <c r="M10" s="130"/>
      <c r="N10" s="130"/>
      <c r="O10" s="130"/>
      <c r="P10" s="130"/>
    </row>
    <row r="11" spans="1:16" ht="12.75" customHeight="1">
      <c r="A11" s="17"/>
      <c r="B11" s="130" t="s">
        <v>117</v>
      </c>
      <c r="C11" s="130"/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</row>
    <row r="12" spans="1:16" ht="12.75" customHeight="1">
      <c r="A12" s="17"/>
      <c r="B12" s="130" t="s">
        <v>114</v>
      </c>
      <c r="C12" s="130"/>
      <c r="D12" s="130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</row>
    <row r="13" spans="1:16" ht="12.75" customHeight="1">
      <c r="A13" s="17"/>
      <c r="B13" s="130" t="s">
        <v>108</v>
      </c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</row>
    <row r="14" spans="1:16" ht="12.75" customHeight="1">
      <c r="A14" s="18"/>
      <c r="B14" s="130" t="s">
        <v>115</v>
      </c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</row>
    <row r="15" spans="1:16" ht="12.75" customHeight="1"/>
  </sheetData>
  <mergeCells count="6">
    <mergeCell ref="B14:P14"/>
    <mergeCell ref="C2:P2"/>
    <mergeCell ref="B10:P10"/>
    <mergeCell ref="B11:P11"/>
    <mergeCell ref="B12:P12"/>
    <mergeCell ref="B13:P13"/>
  </mergeCells>
  <printOptions horizontalCentered="1"/>
  <pageMargins left="0.25" right="0.25" top="1.0833333333333299" bottom="0.75" header="0.3" footer="0.3"/>
  <pageSetup orientation="landscape" r:id="rId1"/>
  <headerFooter alignWithMargins="0">
    <oddHeader>&amp;LBarrick Gold Inc. - Nickel Plate Mine&amp;C&amp;"-,Regular"&amp;18
Table 23 - P35 Data&amp;RAnnual Report, 2017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P11"/>
  <sheetViews>
    <sheetView zoomScaleNormal="100" workbookViewId="0">
      <selection activeCell="B33" sqref="B33"/>
    </sheetView>
  </sheetViews>
  <sheetFormatPr defaultColWidth="9.1328125" defaultRowHeight="15.75"/>
  <cols>
    <col min="1" max="1" width="4.3984375" style="19" customWidth="1"/>
    <col min="2" max="2" width="11" style="23" customWidth="1"/>
    <col min="3" max="3" width="8.1328125" style="19" customWidth="1"/>
    <col min="4" max="5" width="6.86328125" style="89" customWidth="1"/>
    <col min="6" max="6" width="5.73046875" style="19" customWidth="1"/>
    <col min="7" max="8" width="9.1328125" style="19" customWidth="1"/>
    <col min="9" max="9" width="9.73046875" style="19" customWidth="1"/>
    <col min="10" max="10" width="7.265625" style="74" customWidth="1"/>
    <col min="11" max="12" width="8.1328125" style="19" customWidth="1"/>
    <col min="13" max="13" width="9.73046875" style="19" customWidth="1"/>
    <col min="14" max="14" width="5.73046875" style="87" customWidth="1"/>
    <col min="15" max="15" width="9.265625" style="19" customWidth="1"/>
    <col min="16" max="16" width="8" style="19" customWidth="1"/>
    <col min="17" max="16384" width="9.1328125" style="19"/>
  </cols>
  <sheetData>
    <row r="1" spans="1:16" ht="132">
      <c r="A1" s="1" t="s">
        <v>45</v>
      </c>
      <c r="B1" s="2" t="s">
        <v>46</v>
      </c>
      <c r="C1" s="4" t="s">
        <v>49</v>
      </c>
      <c r="D1" s="71" t="s">
        <v>51</v>
      </c>
      <c r="E1" s="71" t="s">
        <v>0</v>
      </c>
      <c r="F1" s="4" t="s">
        <v>52</v>
      </c>
      <c r="G1" s="5" t="s">
        <v>56</v>
      </c>
      <c r="H1" s="7" t="s">
        <v>57</v>
      </c>
      <c r="I1" s="5" t="s">
        <v>59</v>
      </c>
      <c r="J1" s="73" t="s">
        <v>105</v>
      </c>
      <c r="K1" s="7" t="s">
        <v>60</v>
      </c>
      <c r="L1" s="7" t="s">
        <v>61</v>
      </c>
      <c r="M1" s="4" t="s">
        <v>62</v>
      </c>
      <c r="N1" s="4" t="s">
        <v>85</v>
      </c>
      <c r="O1" s="10" t="s">
        <v>86</v>
      </c>
      <c r="P1" s="7" t="s">
        <v>87</v>
      </c>
    </row>
    <row r="2" spans="1:16">
      <c r="A2" s="20" t="s">
        <v>42</v>
      </c>
      <c r="B2" s="21">
        <v>42775</v>
      </c>
      <c r="C2" s="139" t="s">
        <v>39</v>
      </c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1"/>
    </row>
    <row r="3" spans="1:16">
      <c r="A3" s="20" t="s">
        <v>42</v>
      </c>
      <c r="B3" s="21">
        <v>42914.5</v>
      </c>
      <c r="C3" s="139" t="s">
        <v>39</v>
      </c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1"/>
    </row>
    <row r="4" spans="1:16">
      <c r="A4" s="20" t="s">
        <v>42</v>
      </c>
      <c r="B4" s="21">
        <v>43007</v>
      </c>
      <c r="C4" s="139" t="s">
        <v>39</v>
      </c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1"/>
    </row>
    <row r="5" spans="1:16">
      <c r="A5" s="20" t="s">
        <v>42</v>
      </c>
      <c r="B5" s="21">
        <v>43061</v>
      </c>
      <c r="C5" s="139" t="s">
        <v>39</v>
      </c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1"/>
    </row>
    <row r="6" spans="1:16" ht="12.75" customHeight="1">
      <c r="A6" s="17"/>
      <c r="B6" s="131" t="s">
        <v>112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</row>
    <row r="7" spans="1:16" ht="12.75" customHeight="1">
      <c r="A7" s="17"/>
      <c r="B7" s="130" t="s">
        <v>117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</row>
    <row r="8" spans="1:16" ht="12.75" customHeight="1">
      <c r="A8" s="17"/>
      <c r="B8" s="130" t="s">
        <v>114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0"/>
      <c r="P8" s="130"/>
    </row>
    <row r="9" spans="1:16" ht="12.75" customHeight="1">
      <c r="A9" s="17"/>
      <c r="B9" s="130" t="s">
        <v>108</v>
      </c>
      <c r="C9" s="130"/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</row>
    <row r="10" spans="1:16" ht="12.75" customHeight="1">
      <c r="A10" s="18"/>
      <c r="B10" s="130" t="s">
        <v>115</v>
      </c>
      <c r="C10" s="130"/>
      <c r="D10" s="130"/>
      <c r="E10" s="130"/>
      <c r="F10" s="130"/>
      <c r="G10" s="130"/>
      <c r="H10" s="130"/>
      <c r="I10" s="130"/>
      <c r="J10" s="130"/>
      <c r="K10" s="130"/>
      <c r="L10" s="130"/>
      <c r="M10" s="130"/>
      <c r="N10" s="130"/>
      <c r="O10" s="130"/>
      <c r="P10" s="130"/>
    </row>
    <row r="11" spans="1:16" ht="12.75" customHeight="1"/>
  </sheetData>
  <mergeCells count="9">
    <mergeCell ref="B8:P8"/>
    <mergeCell ref="B9:P9"/>
    <mergeCell ref="B10:P10"/>
    <mergeCell ref="C2:P2"/>
    <mergeCell ref="C3:P3"/>
    <mergeCell ref="C4:P4"/>
    <mergeCell ref="B6:P6"/>
    <mergeCell ref="B7:P7"/>
    <mergeCell ref="C5:P5"/>
  </mergeCells>
  <printOptions horizontalCentered="1"/>
  <pageMargins left="0.25" right="0.25" top="1.0833333333333299" bottom="0.75" header="0.3" footer="0.3"/>
  <pageSetup orientation="landscape" r:id="rId1"/>
  <headerFooter alignWithMargins="0">
    <oddHeader>&amp;LBarrick Gold Inc. - Nickel Plate Mine&amp;C&amp;"-,Regular"&amp;18
Table 24 - P36 Data&amp;RAnnual Report, 2017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P15"/>
  <sheetViews>
    <sheetView zoomScaleNormal="100" workbookViewId="0">
      <selection activeCell="B33" sqref="B33"/>
    </sheetView>
  </sheetViews>
  <sheetFormatPr defaultColWidth="9.1328125" defaultRowHeight="15.75"/>
  <cols>
    <col min="1" max="1" width="4.3984375" style="19" customWidth="1"/>
    <col min="2" max="2" width="11" style="23" customWidth="1"/>
    <col min="3" max="3" width="10.59765625" style="19" bestFit="1" customWidth="1"/>
    <col min="4" max="5" width="6.86328125" style="89" customWidth="1"/>
    <col min="6" max="6" width="5.73046875" style="19" customWidth="1"/>
    <col min="7" max="8" width="9.1328125" style="19" customWidth="1"/>
    <col min="9" max="9" width="9.73046875" style="19" customWidth="1"/>
    <col min="10" max="10" width="7.265625" style="74" customWidth="1"/>
    <col min="11" max="12" width="8.1328125" style="19" customWidth="1"/>
    <col min="13" max="13" width="9.73046875" style="19" customWidth="1"/>
    <col min="14" max="14" width="5.73046875" style="87" customWidth="1"/>
    <col min="15" max="15" width="9.265625" style="19" customWidth="1"/>
    <col min="16" max="16" width="8" style="19" customWidth="1"/>
    <col min="17" max="16384" width="9.1328125" style="19"/>
  </cols>
  <sheetData>
    <row r="1" spans="1:16" ht="132">
      <c r="A1" s="1" t="s">
        <v>45</v>
      </c>
      <c r="B1" s="2" t="s">
        <v>46</v>
      </c>
      <c r="C1" s="4" t="s">
        <v>49</v>
      </c>
      <c r="D1" s="71" t="s">
        <v>51</v>
      </c>
      <c r="E1" s="71" t="s">
        <v>0</v>
      </c>
      <c r="F1" s="4" t="s">
        <v>52</v>
      </c>
      <c r="G1" s="5" t="s">
        <v>56</v>
      </c>
      <c r="H1" s="7" t="s">
        <v>57</v>
      </c>
      <c r="I1" s="5" t="s">
        <v>59</v>
      </c>
      <c r="J1" s="73" t="s">
        <v>105</v>
      </c>
      <c r="K1" s="7" t="s">
        <v>60</v>
      </c>
      <c r="L1" s="7" t="s">
        <v>61</v>
      </c>
      <c r="M1" s="4" t="s">
        <v>62</v>
      </c>
      <c r="N1" s="4" t="s">
        <v>85</v>
      </c>
      <c r="O1" s="10" t="s">
        <v>86</v>
      </c>
      <c r="P1" s="7" t="s">
        <v>87</v>
      </c>
    </row>
    <row r="2" spans="1:16">
      <c r="A2" s="20" t="s">
        <v>43</v>
      </c>
      <c r="B2" s="21" t="s">
        <v>119</v>
      </c>
      <c r="C2" s="139" t="s">
        <v>128</v>
      </c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1"/>
    </row>
    <row r="3" spans="1:16">
      <c r="A3" s="20" t="s">
        <v>43</v>
      </c>
      <c r="B3" s="21">
        <v>42914.5</v>
      </c>
      <c r="C3" s="119">
        <v>1323.0030000000002</v>
      </c>
      <c r="D3" s="88">
        <v>598</v>
      </c>
      <c r="E3" s="88">
        <v>283</v>
      </c>
      <c r="F3" s="22">
        <v>7.91</v>
      </c>
      <c r="G3" s="22">
        <v>3.32E-2</v>
      </c>
      <c r="H3" s="22">
        <v>0.55800000000000005</v>
      </c>
      <c r="I3" s="22">
        <v>144</v>
      </c>
      <c r="J3" s="72">
        <f t="shared" ref="J3:J5" si="0">L3-K3</f>
        <v>1.4100000000000001</v>
      </c>
      <c r="K3" s="22">
        <v>0.17</v>
      </c>
      <c r="L3" s="22">
        <v>1.58</v>
      </c>
      <c r="M3" s="22">
        <v>0.59</v>
      </c>
      <c r="N3" s="86">
        <v>0.88600000000000001</v>
      </c>
      <c r="O3" s="22">
        <v>2.48E-3</v>
      </c>
      <c r="P3" s="22">
        <v>0.38800000000000001</v>
      </c>
    </row>
    <row r="4" spans="1:16">
      <c r="A4" s="20" t="s">
        <v>43</v>
      </c>
      <c r="B4" s="21">
        <v>42970.5</v>
      </c>
      <c r="C4" s="119">
        <v>1322.7430000000002</v>
      </c>
      <c r="D4" s="88">
        <v>697</v>
      </c>
      <c r="E4" s="88">
        <v>375</v>
      </c>
      <c r="F4" s="22">
        <v>8.1300000000000008</v>
      </c>
      <c r="G4" s="22">
        <v>9.9299999999999999E-2</v>
      </c>
      <c r="H4" s="22">
        <v>0.58699999999999997</v>
      </c>
      <c r="I4" s="22">
        <v>171</v>
      </c>
      <c r="J4" s="72">
        <f t="shared" si="0"/>
        <v>1.4788000000000001</v>
      </c>
      <c r="K4" s="22">
        <v>3.1199999999999999E-2</v>
      </c>
      <c r="L4" s="22">
        <v>1.51</v>
      </c>
      <c r="M4" s="24">
        <f>0.5* 0.5</f>
        <v>0.25</v>
      </c>
      <c r="N4" s="86">
        <v>0.80500000000000005</v>
      </c>
      <c r="O4" s="22">
        <v>1.75E-3</v>
      </c>
      <c r="P4" s="22">
        <v>0.432</v>
      </c>
    </row>
    <row r="5" spans="1:16">
      <c r="A5" s="20" t="s">
        <v>43</v>
      </c>
      <c r="B5" s="21">
        <v>43061</v>
      </c>
      <c r="C5" s="126">
        <v>1322.633</v>
      </c>
      <c r="D5" s="88">
        <v>612</v>
      </c>
      <c r="E5" s="88">
        <v>1620</v>
      </c>
      <c r="F5" s="22">
        <v>7.94</v>
      </c>
      <c r="G5" s="22">
        <v>18.8</v>
      </c>
      <c r="H5" s="22">
        <v>0.53500000000000003</v>
      </c>
      <c r="I5" s="22">
        <v>132</v>
      </c>
      <c r="J5" s="72">
        <f t="shared" si="0"/>
        <v>0.73270000000000002</v>
      </c>
      <c r="K5" s="22">
        <v>1.1299999999999999E-2</v>
      </c>
      <c r="L5" s="22">
        <v>0.74399999999999999</v>
      </c>
      <c r="M5" s="22">
        <v>1070</v>
      </c>
      <c r="N5" s="86">
        <v>2.2200000000000002</v>
      </c>
      <c r="O5" s="22">
        <v>1.8E-3</v>
      </c>
      <c r="P5" s="22">
        <v>0.10199999999999999</v>
      </c>
    </row>
    <row r="6" spans="1:16">
      <c r="A6" s="14"/>
      <c r="B6" s="15" t="s">
        <v>100</v>
      </c>
      <c r="C6" s="30">
        <f t="shared" ref="C6:P6" si="1">MIN(C2:C5)</f>
        <v>1322.633</v>
      </c>
      <c r="D6" s="16">
        <f t="shared" si="1"/>
        <v>598</v>
      </c>
      <c r="E6" s="16">
        <f t="shared" si="1"/>
        <v>283</v>
      </c>
      <c r="F6" s="30">
        <f t="shared" si="1"/>
        <v>7.91</v>
      </c>
      <c r="G6" s="31">
        <f t="shared" si="1"/>
        <v>3.32E-2</v>
      </c>
      <c r="H6" s="31">
        <f t="shared" si="1"/>
        <v>0.53500000000000003</v>
      </c>
      <c r="I6" s="30">
        <f t="shared" si="1"/>
        <v>132</v>
      </c>
      <c r="J6" s="64">
        <f t="shared" si="1"/>
        <v>0.73270000000000002</v>
      </c>
      <c r="K6" s="31">
        <f t="shared" si="1"/>
        <v>1.1299999999999999E-2</v>
      </c>
      <c r="L6" s="31">
        <f t="shared" si="1"/>
        <v>0.74399999999999999</v>
      </c>
      <c r="M6" s="30">
        <f t="shared" si="1"/>
        <v>0.25</v>
      </c>
      <c r="N6" s="30">
        <f t="shared" si="1"/>
        <v>0.80500000000000005</v>
      </c>
      <c r="O6" s="38">
        <f t="shared" si="1"/>
        <v>1.75E-3</v>
      </c>
      <c r="P6" s="31">
        <f t="shared" si="1"/>
        <v>0.10199999999999999</v>
      </c>
    </row>
    <row r="7" spans="1:16">
      <c r="A7" s="14"/>
      <c r="B7" s="15" t="s">
        <v>101</v>
      </c>
      <c r="C7" s="30">
        <f t="shared" ref="C7:P7" si="2">MAX(C2:C5)</f>
        <v>1323.0030000000002</v>
      </c>
      <c r="D7" s="16">
        <f t="shared" si="2"/>
        <v>697</v>
      </c>
      <c r="E7" s="16">
        <f t="shared" si="2"/>
        <v>1620</v>
      </c>
      <c r="F7" s="30">
        <f t="shared" si="2"/>
        <v>8.1300000000000008</v>
      </c>
      <c r="G7" s="31">
        <f t="shared" si="2"/>
        <v>18.8</v>
      </c>
      <c r="H7" s="31">
        <f t="shared" si="2"/>
        <v>0.58699999999999997</v>
      </c>
      <c r="I7" s="30">
        <f t="shared" si="2"/>
        <v>171</v>
      </c>
      <c r="J7" s="64">
        <f t="shared" si="2"/>
        <v>1.4788000000000001</v>
      </c>
      <c r="K7" s="31">
        <f t="shared" si="2"/>
        <v>0.17</v>
      </c>
      <c r="L7" s="31">
        <f t="shared" si="2"/>
        <v>1.58</v>
      </c>
      <c r="M7" s="30">
        <f t="shared" si="2"/>
        <v>1070</v>
      </c>
      <c r="N7" s="30">
        <f t="shared" si="2"/>
        <v>2.2200000000000002</v>
      </c>
      <c r="O7" s="38">
        <f t="shared" si="2"/>
        <v>2.48E-3</v>
      </c>
      <c r="P7" s="31">
        <f t="shared" si="2"/>
        <v>0.432</v>
      </c>
    </row>
    <row r="8" spans="1:16">
      <c r="A8" s="14"/>
      <c r="B8" s="15" t="s">
        <v>102</v>
      </c>
      <c r="C8" s="30">
        <f t="shared" ref="C8:P8" si="3">AVERAGE(C2:C5)</f>
        <v>1322.7929999999999</v>
      </c>
      <c r="D8" s="16">
        <f t="shared" si="3"/>
        <v>635.66666666666663</v>
      </c>
      <c r="E8" s="16">
        <f t="shared" si="3"/>
        <v>759.33333333333337</v>
      </c>
      <c r="F8" s="30">
        <f t="shared" si="3"/>
        <v>7.9933333333333332</v>
      </c>
      <c r="G8" s="31">
        <f t="shared" si="3"/>
        <v>6.310833333333334</v>
      </c>
      <c r="H8" s="31">
        <f t="shared" si="3"/>
        <v>0.56000000000000005</v>
      </c>
      <c r="I8" s="30">
        <f t="shared" si="3"/>
        <v>149</v>
      </c>
      <c r="J8" s="64">
        <f t="shared" si="3"/>
        <v>1.2071666666666667</v>
      </c>
      <c r="K8" s="31">
        <f t="shared" si="3"/>
        <v>7.0833333333333345E-2</v>
      </c>
      <c r="L8" s="31">
        <f t="shared" si="3"/>
        <v>1.2779999999999998</v>
      </c>
      <c r="M8" s="30">
        <f t="shared" si="3"/>
        <v>356.94666666666666</v>
      </c>
      <c r="N8" s="30">
        <f t="shared" si="3"/>
        <v>1.3036666666666668</v>
      </c>
      <c r="O8" s="38">
        <f t="shared" si="3"/>
        <v>2.0100000000000001E-3</v>
      </c>
      <c r="P8" s="31">
        <f t="shared" si="3"/>
        <v>0.30733333333333335</v>
      </c>
    </row>
    <row r="9" spans="1:16">
      <c r="A9" s="14"/>
      <c r="B9" s="15" t="s">
        <v>103</v>
      </c>
      <c r="C9" s="30">
        <f t="shared" ref="C9:P9" si="4">_xlfn.STDEV.P(C2:C5)</f>
        <v>0.15513435037630763</v>
      </c>
      <c r="D9" s="16">
        <f t="shared" si="4"/>
        <v>43.744205965539663</v>
      </c>
      <c r="E9" s="16">
        <f t="shared" si="4"/>
        <v>609.74111081853607</v>
      </c>
      <c r="F9" s="30">
        <f t="shared" si="4"/>
        <v>9.7410927974683301E-2</v>
      </c>
      <c r="G9" s="31">
        <f t="shared" si="4"/>
        <v>8.8312156703115097</v>
      </c>
      <c r="H9" s="31">
        <f t="shared" si="4"/>
        <v>2.1275964529643903E-2</v>
      </c>
      <c r="I9" s="30">
        <f t="shared" si="4"/>
        <v>16.30950643030009</v>
      </c>
      <c r="J9" s="64">
        <f t="shared" si="4"/>
        <v>0.33667226728014837</v>
      </c>
      <c r="K9" s="31">
        <f t="shared" si="4"/>
        <v>7.0590477796623224E-2</v>
      </c>
      <c r="L9" s="31">
        <f t="shared" si="4"/>
        <v>0.3786748825399795</v>
      </c>
      <c r="M9" s="30">
        <f t="shared" si="4"/>
        <v>504.20486645366248</v>
      </c>
      <c r="N9" s="30">
        <f t="shared" si="4"/>
        <v>0.64878878603817502</v>
      </c>
      <c r="O9" s="38">
        <f t="shared" si="4"/>
        <v>3.3296646477786119E-4</v>
      </c>
      <c r="P9" s="31">
        <f t="shared" si="4"/>
        <v>0.14629954051724009</v>
      </c>
    </row>
    <row r="10" spans="1:16" ht="12.75" customHeight="1">
      <c r="A10" s="17"/>
      <c r="B10" s="131" t="s">
        <v>112</v>
      </c>
      <c r="C10" s="130"/>
      <c r="D10" s="130"/>
      <c r="E10" s="130"/>
      <c r="F10" s="130"/>
      <c r="G10" s="130"/>
      <c r="H10" s="130"/>
      <c r="I10" s="130"/>
      <c r="J10" s="130"/>
      <c r="K10" s="130"/>
      <c r="L10" s="130"/>
      <c r="M10" s="130"/>
      <c r="N10" s="130"/>
      <c r="O10" s="130"/>
      <c r="P10" s="130"/>
    </row>
    <row r="11" spans="1:16" ht="12.75" customHeight="1">
      <c r="A11" s="17"/>
      <c r="B11" s="130" t="s">
        <v>117</v>
      </c>
      <c r="C11" s="130"/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</row>
    <row r="12" spans="1:16" ht="12.75" customHeight="1">
      <c r="A12" s="17"/>
      <c r="B12" s="130" t="s">
        <v>114</v>
      </c>
      <c r="C12" s="130"/>
      <c r="D12" s="130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</row>
    <row r="13" spans="1:16" ht="12.75" customHeight="1">
      <c r="A13" s="17"/>
      <c r="B13" s="130" t="s">
        <v>108</v>
      </c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</row>
    <row r="14" spans="1:16" ht="12.75" customHeight="1">
      <c r="A14" s="18"/>
      <c r="B14" s="130" t="s">
        <v>115</v>
      </c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</row>
    <row r="15" spans="1:16" ht="12.75" customHeight="1"/>
  </sheetData>
  <mergeCells count="6">
    <mergeCell ref="B14:P14"/>
    <mergeCell ref="C2:P2"/>
    <mergeCell ref="B10:P10"/>
    <mergeCell ref="B11:P11"/>
    <mergeCell ref="B12:P12"/>
    <mergeCell ref="B13:P13"/>
  </mergeCells>
  <printOptions horizontalCentered="1"/>
  <pageMargins left="0.25" right="0.25" top="1.0833333333333299" bottom="0.75" header="0.3" footer="0.3"/>
  <pageSetup orientation="landscape" r:id="rId1"/>
  <headerFooter alignWithMargins="0">
    <oddHeader>&amp;LBarrick Gold Inc. - Nickel Plate Mine&amp;C&amp;"-,Regular"&amp;18
Table 25 - P37 Data&amp;RAnnual Report, 2017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P15"/>
  <sheetViews>
    <sheetView zoomScaleNormal="100" workbookViewId="0">
      <selection activeCell="B33" sqref="B33"/>
    </sheetView>
  </sheetViews>
  <sheetFormatPr defaultColWidth="9.1328125" defaultRowHeight="15.75"/>
  <cols>
    <col min="1" max="1" width="4.3984375" style="19" customWidth="1"/>
    <col min="2" max="2" width="11" style="23" customWidth="1"/>
    <col min="3" max="3" width="9.73046875" style="19" bestFit="1" customWidth="1"/>
    <col min="4" max="5" width="6.86328125" style="89" customWidth="1"/>
    <col min="6" max="6" width="5.73046875" style="19" customWidth="1"/>
    <col min="7" max="8" width="9.1328125" style="19" customWidth="1"/>
    <col min="9" max="9" width="9.73046875" style="19" customWidth="1"/>
    <col min="10" max="10" width="7.265625" style="74" customWidth="1"/>
    <col min="11" max="12" width="8.1328125" style="19" customWidth="1"/>
    <col min="13" max="13" width="9.73046875" style="19" customWidth="1"/>
    <col min="14" max="14" width="5.73046875" style="87" customWidth="1"/>
    <col min="15" max="15" width="9.265625" style="19" customWidth="1"/>
    <col min="16" max="16" width="8" style="19" customWidth="1"/>
    <col min="17" max="16384" width="9.1328125" style="19"/>
  </cols>
  <sheetData>
    <row r="1" spans="1:16" ht="132">
      <c r="A1" s="1" t="s">
        <v>45</v>
      </c>
      <c r="B1" s="2" t="s">
        <v>46</v>
      </c>
      <c r="C1" s="4" t="s">
        <v>49</v>
      </c>
      <c r="D1" s="71" t="s">
        <v>51</v>
      </c>
      <c r="E1" s="71" t="s">
        <v>0</v>
      </c>
      <c r="F1" s="4" t="s">
        <v>52</v>
      </c>
      <c r="G1" s="5" t="s">
        <v>56</v>
      </c>
      <c r="H1" s="7" t="s">
        <v>57</v>
      </c>
      <c r="I1" s="5" t="s">
        <v>59</v>
      </c>
      <c r="J1" s="73" t="s">
        <v>105</v>
      </c>
      <c r="K1" s="7" t="s">
        <v>60</v>
      </c>
      <c r="L1" s="7" t="s">
        <v>61</v>
      </c>
      <c r="M1" s="4" t="s">
        <v>62</v>
      </c>
      <c r="N1" s="4" t="s">
        <v>85</v>
      </c>
      <c r="O1" s="10" t="s">
        <v>86</v>
      </c>
      <c r="P1" s="7" t="s">
        <v>87</v>
      </c>
    </row>
    <row r="2" spans="1:16">
      <c r="A2" s="20" t="s">
        <v>4</v>
      </c>
      <c r="B2" s="21">
        <v>42774.5</v>
      </c>
      <c r="C2" s="119">
        <v>1320.394</v>
      </c>
      <c r="D2" s="88">
        <v>6220</v>
      </c>
      <c r="E2" s="88">
        <v>1680</v>
      </c>
      <c r="F2" s="22">
        <v>7.71</v>
      </c>
      <c r="G2" s="22">
        <v>18.2</v>
      </c>
      <c r="H2" s="24">
        <f>0.5* 0.25</f>
        <v>0.125</v>
      </c>
      <c r="I2" s="22">
        <v>2430</v>
      </c>
      <c r="J2" s="72">
        <f t="shared" ref="J2:J5" si="0">L2-K2</f>
        <v>1.0150000000000001</v>
      </c>
      <c r="K2" s="24">
        <f>0.5* 0.05</f>
        <v>2.5000000000000001E-2</v>
      </c>
      <c r="L2" s="22">
        <v>1.04</v>
      </c>
      <c r="M2" s="22">
        <v>1300</v>
      </c>
      <c r="N2" s="86">
        <v>2.4500000000000002</v>
      </c>
      <c r="O2" s="24">
        <f>0.5* 0.0005</f>
        <v>2.5000000000000001E-4</v>
      </c>
      <c r="P2" s="22">
        <v>3.0200000000000001E-2</v>
      </c>
    </row>
    <row r="3" spans="1:16">
      <c r="A3" s="20" t="s">
        <v>4</v>
      </c>
      <c r="B3" s="21">
        <v>42914.5</v>
      </c>
      <c r="C3" s="119">
        <v>1320.5540000000001</v>
      </c>
      <c r="D3" s="88">
        <v>6030</v>
      </c>
      <c r="E3" s="88">
        <v>1700</v>
      </c>
      <c r="F3" s="22">
        <v>7.35</v>
      </c>
      <c r="G3" s="22">
        <v>20.3</v>
      </c>
      <c r="H3" s="24">
        <f>0.5* 0.25</f>
        <v>0.125</v>
      </c>
      <c r="I3" s="22">
        <v>2530</v>
      </c>
      <c r="J3" s="72">
        <f t="shared" si="0"/>
        <v>0.8347</v>
      </c>
      <c r="K3" s="22">
        <v>4.8300000000000003E-2</v>
      </c>
      <c r="L3" s="22">
        <v>0.88300000000000001</v>
      </c>
      <c r="M3" s="22">
        <v>1100</v>
      </c>
      <c r="N3" s="86">
        <v>2.4500000000000002</v>
      </c>
      <c r="O3" s="22">
        <v>1.1000000000000001E-3</v>
      </c>
      <c r="P3" s="24">
        <f>0.5* 0.05</f>
        <v>2.5000000000000001E-2</v>
      </c>
    </row>
    <row r="4" spans="1:16">
      <c r="A4" s="20" t="s">
        <v>4</v>
      </c>
      <c r="B4" s="21">
        <v>42970.5</v>
      </c>
      <c r="C4" s="119">
        <v>1322.5440000000001</v>
      </c>
      <c r="D4" s="88">
        <v>6330</v>
      </c>
      <c r="E4" s="88">
        <v>1700</v>
      </c>
      <c r="F4" s="22">
        <v>7.65</v>
      </c>
      <c r="G4" s="22">
        <v>21.7</v>
      </c>
      <c r="H4" s="24">
        <f>0.5* 0.1</f>
        <v>0.05</v>
      </c>
      <c r="I4" s="22">
        <v>2640</v>
      </c>
      <c r="J4" s="72">
        <f t="shared" si="0"/>
        <v>0.95699999999999996</v>
      </c>
      <c r="K4" s="22">
        <v>5.2999999999999999E-2</v>
      </c>
      <c r="L4" s="22">
        <v>1.01</v>
      </c>
      <c r="M4" s="22">
        <v>1250</v>
      </c>
      <c r="N4" s="86">
        <v>2.62</v>
      </c>
      <c r="O4" s="22">
        <v>2.0999999999999999E-3</v>
      </c>
      <c r="P4" s="24">
        <f>0.5* 0.05</f>
        <v>2.5000000000000001E-2</v>
      </c>
    </row>
    <row r="5" spans="1:16">
      <c r="A5" s="20" t="s">
        <v>4</v>
      </c>
      <c r="B5" s="21">
        <v>43061</v>
      </c>
      <c r="C5" s="126">
        <v>1320.404</v>
      </c>
      <c r="D5" s="88">
        <v>6040</v>
      </c>
      <c r="E5" s="88">
        <v>1750</v>
      </c>
      <c r="F5" s="22">
        <v>7.51</v>
      </c>
      <c r="G5" s="22">
        <v>21.3</v>
      </c>
      <c r="H5" s="24">
        <f>0.5* 0.25</f>
        <v>0.125</v>
      </c>
      <c r="I5" s="22">
        <v>2530</v>
      </c>
      <c r="J5" s="72">
        <f t="shared" si="0"/>
        <v>0.83440000000000003</v>
      </c>
      <c r="K5" s="22">
        <v>2.2599999999999999E-2</v>
      </c>
      <c r="L5" s="22">
        <v>0.85699999999999998</v>
      </c>
      <c r="M5" s="22">
        <v>1130</v>
      </c>
      <c r="N5" s="86">
        <v>2.54</v>
      </c>
      <c r="O5" s="22">
        <v>1.9E-3</v>
      </c>
      <c r="P5" s="24">
        <f>0.5* 0.05</f>
        <v>2.5000000000000001E-2</v>
      </c>
    </row>
    <row r="6" spans="1:16">
      <c r="A6" s="14"/>
      <c r="B6" s="15" t="s">
        <v>100</v>
      </c>
      <c r="C6" s="30">
        <f>MIN(C2:C5)</f>
        <v>1320.394</v>
      </c>
      <c r="D6" s="16">
        <f t="shared" ref="D6:P6" si="1">MIN(D2:D5)</f>
        <v>6030</v>
      </c>
      <c r="E6" s="16">
        <f t="shared" si="1"/>
        <v>1680</v>
      </c>
      <c r="F6" s="30">
        <f t="shared" si="1"/>
        <v>7.35</v>
      </c>
      <c r="G6" s="31">
        <f t="shared" si="1"/>
        <v>18.2</v>
      </c>
      <c r="H6" s="31">
        <f t="shared" si="1"/>
        <v>0.05</v>
      </c>
      <c r="I6" s="30">
        <f t="shared" si="1"/>
        <v>2430</v>
      </c>
      <c r="J6" s="64">
        <f t="shared" si="1"/>
        <v>0.83440000000000003</v>
      </c>
      <c r="K6" s="31">
        <f t="shared" si="1"/>
        <v>2.2599999999999999E-2</v>
      </c>
      <c r="L6" s="31">
        <f t="shared" si="1"/>
        <v>0.85699999999999998</v>
      </c>
      <c r="M6" s="30">
        <f t="shared" si="1"/>
        <v>1100</v>
      </c>
      <c r="N6" s="30">
        <f t="shared" si="1"/>
        <v>2.4500000000000002</v>
      </c>
      <c r="O6" s="38">
        <f t="shared" si="1"/>
        <v>2.5000000000000001E-4</v>
      </c>
      <c r="P6" s="31">
        <f t="shared" si="1"/>
        <v>2.5000000000000001E-2</v>
      </c>
    </row>
    <row r="7" spans="1:16">
      <c r="A7" s="14"/>
      <c r="B7" s="15" t="s">
        <v>101</v>
      </c>
      <c r="C7" s="30">
        <f>MAX(C2:C5)</f>
        <v>1322.5440000000001</v>
      </c>
      <c r="D7" s="16">
        <f t="shared" ref="D7:P7" si="2">MAX(D2:D5)</f>
        <v>6330</v>
      </c>
      <c r="E7" s="16">
        <f t="shared" si="2"/>
        <v>1750</v>
      </c>
      <c r="F7" s="30">
        <f t="shared" si="2"/>
        <v>7.71</v>
      </c>
      <c r="G7" s="31">
        <f t="shared" si="2"/>
        <v>21.7</v>
      </c>
      <c r="H7" s="31">
        <f t="shared" si="2"/>
        <v>0.125</v>
      </c>
      <c r="I7" s="30">
        <f t="shared" si="2"/>
        <v>2640</v>
      </c>
      <c r="J7" s="64">
        <f t="shared" si="2"/>
        <v>1.0150000000000001</v>
      </c>
      <c r="K7" s="31">
        <f t="shared" si="2"/>
        <v>5.2999999999999999E-2</v>
      </c>
      <c r="L7" s="31">
        <f t="shared" si="2"/>
        <v>1.04</v>
      </c>
      <c r="M7" s="30">
        <f t="shared" si="2"/>
        <v>1300</v>
      </c>
      <c r="N7" s="30">
        <f t="shared" si="2"/>
        <v>2.62</v>
      </c>
      <c r="O7" s="38">
        <f t="shared" si="2"/>
        <v>2.0999999999999999E-3</v>
      </c>
      <c r="P7" s="31">
        <f t="shared" si="2"/>
        <v>3.0200000000000001E-2</v>
      </c>
    </row>
    <row r="8" spans="1:16">
      <c r="A8" s="14"/>
      <c r="B8" s="15" t="s">
        <v>102</v>
      </c>
      <c r="C8" s="30">
        <f>AVERAGE(C2:C5)</f>
        <v>1320.9740000000002</v>
      </c>
      <c r="D8" s="16">
        <f t="shared" ref="D8:P8" si="3">AVERAGE(D2:D5)</f>
        <v>6155</v>
      </c>
      <c r="E8" s="16">
        <f t="shared" si="3"/>
        <v>1707.5</v>
      </c>
      <c r="F8" s="30">
        <f t="shared" si="3"/>
        <v>7.5549999999999997</v>
      </c>
      <c r="G8" s="31">
        <f t="shared" si="3"/>
        <v>20.375</v>
      </c>
      <c r="H8" s="31">
        <f t="shared" si="3"/>
        <v>0.10625</v>
      </c>
      <c r="I8" s="30">
        <f t="shared" si="3"/>
        <v>2532.5</v>
      </c>
      <c r="J8" s="64">
        <f t="shared" si="3"/>
        <v>0.91027500000000006</v>
      </c>
      <c r="K8" s="31">
        <f t="shared" si="3"/>
        <v>3.7225000000000001E-2</v>
      </c>
      <c r="L8" s="31">
        <f t="shared" si="3"/>
        <v>0.94750000000000001</v>
      </c>
      <c r="M8" s="30">
        <f t="shared" si="3"/>
        <v>1195</v>
      </c>
      <c r="N8" s="30">
        <f t="shared" si="3"/>
        <v>2.5150000000000001</v>
      </c>
      <c r="O8" s="38">
        <f t="shared" si="3"/>
        <v>1.3374999999999999E-3</v>
      </c>
      <c r="P8" s="31">
        <f t="shared" si="3"/>
        <v>2.6299999999999997E-2</v>
      </c>
    </row>
    <row r="9" spans="1:16">
      <c r="A9" s="14"/>
      <c r="B9" s="15" t="s">
        <v>103</v>
      </c>
      <c r="C9" s="30">
        <f>_xlfn.STDEV.P(C2:C5)</f>
        <v>0.90865284900233312</v>
      </c>
      <c r="D9" s="16">
        <f t="shared" ref="D9:P9" si="4">_xlfn.STDEV.P(D2:D5)</f>
        <v>126.19429464123962</v>
      </c>
      <c r="E9" s="16">
        <f t="shared" si="4"/>
        <v>25.8602010819715</v>
      </c>
      <c r="F9" s="30">
        <f t="shared" si="4"/>
        <v>0.13883443376914842</v>
      </c>
      <c r="G9" s="31">
        <f t="shared" si="4"/>
        <v>1.3553136168429802</v>
      </c>
      <c r="H9" s="31">
        <f t="shared" si="4"/>
        <v>3.2475952641916474E-2</v>
      </c>
      <c r="I9" s="30">
        <f t="shared" si="4"/>
        <v>74.288289790518135</v>
      </c>
      <c r="J9" s="64">
        <f t="shared" si="4"/>
        <v>7.8452449770545746E-2</v>
      </c>
      <c r="K9" s="31">
        <f t="shared" si="4"/>
        <v>1.3554035376964308E-2</v>
      </c>
      <c r="L9" s="31">
        <f t="shared" si="4"/>
        <v>7.8760713556950468E-2</v>
      </c>
      <c r="M9" s="30">
        <f t="shared" si="4"/>
        <v>82.613558209291526</v>
      </c>
      <c r="N9" s="30">
        <f t="shared" si="4"/>
        <v>7.0887234393789092E-2</v>
      </c>
      <c r="O9" s="38">
        <f t="shared" si="4"/>
        <v>7.3090269530218591E-4</v>
      </c>
      <c r="P9" s="31">
        <f t="shared" si="4"/>
        <v>2.2516660498395403E-3</v>
      </c>
    </row>
    <row r="10" spans="1:16" ht="12.75" customHeight="1">
      <c r="A10" s="17"/>
      <c r="B10" s="131" t="s">
        <v>112</v>
      </c>
      <c r="C10" s="130"/>
      <c r="D10" s="130"/>
      <c r="E10" s="130"/>
      <c r="F10" s="130"/>
      <c r="G10" s="130"/>
      <c r="H10" s="130"/>
      <c r="I10" s="130"/>
      <c r="J10" s="130"/>
      <c r="K10" s="130"/>
      <c r="L10" s="130"/>
      <c r="M10" s="130"/>
      <c r="N10" s="130"/>
      <c r="O10" s="130"/>
      <c r="P10" s="130"/>
    </row>
    <row r="11" spans="1:16" ht="12.75" customHeight="1">
      <c r="A11" s="17"/>
      <c r="B11" s="130" t="s">
        <v>117</v>
      </c>
      <c r="C11" s="130"/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</row>
    <row r="12" spans="1:16" ht="12.75" customHeight="1">
      <c r="A12" s="17"/>
      <c r="B12" s="130" t="s">
        <v>114</v>
      </c>
      <c r="C12" s="130"/>
      <c r="D12" s="130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</row>
    <row r="13" spans="1:16" ht="12.75" customHeight="1">
      <c r="A13" s="17"/>
      <c r="B13" s="130" t="s">
        <v>108</v>
      </c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</row>
    <row r="14" spans="1:16" ht="12.75" customHeight="1">
      <c r="A14" s="18"/>
      <c r="B14" s="130" t="s">
        <v>115</v>
      </c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</row>
    <row r="15" spans="1:16" ht="12.75" customHeight="1"/>
  </sheetData>
  <mergeCells count="5">
    <mergeCell ref="B10:P10"/>
    <mergeCell ref="B11:P11"/>
    <mergeCell ref="B12:P12"/>
    <mergeCell ref="B13:P13"/>
    <mergeCell ref="B14:P14"/>
  </mergeCells>
  <printOptions horizontalCentered="1"/>
  <pageMargins left="0.25" right="0.25" top="1.0833333333333299" bottom="0.75" header="0.3" footer="0.3"/>
  <pageSetup orientation="landscape" r:id="rId1"/>
  <headerFooter alignWithMargins="0">
    <oddHeader>&amp;LBarrick Gold Inc. - Nickel Plate Mine&amp;C&amp;"-,Regular"&amp;18
Table 26 - P38 Data&amp;RAnnual Report, 2017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P15"/>
  <sheetViews>
    <sheetView zoomScaleNormal="100" workbookViewId="0">
      <selection activeCell="B33" sqref="B33"/>
    </sheetView>
  </sheetViews>
  <sheetFormatPr defaultColWidth="9.1328125" defaultRowHeight="15.75"/>
  <cols>
    <col min="1" max="1" width="4.3984375" style="19" customWidth="1"/>
    <col min="2" max="2" width="11" style="23" customWidth="1"/>
    <col min="3" max="3" width="9.73046875" style="19" bestFit="1" customWidth="1"/>
    <col min="4" max="5" width="6.86328125" style="89" customWidth="1"/>
    <col min="6" max="6" width="5.73046875" style="19" customWidth="1"/>
    <col min="7" max="8" width="9.1328125" style="19" customWidth="1"/>
    <col min="9" max="9" width="9.73046875" style="19" customWidth="1"/>
    <col min="10" max="10" width="7.265625" style="74" customWidth="1"/>
    <col min="11" max="12" width="8.1328125" style="19" customWidth="1"/>
    <col min="13" max="13" width="9.73046875" style="19" customWidth="1"/>
    <col min="14" max="14" width="5.73046875" style="87" customWidth="1"/>
    <col min="15" max="15" width="9.265625" style="19" customWidth="1"/>
    <col min="16" max="16" width="8" style="19" customWidth="1"/>
    <col min="17" max="16384" width="9.1328125" style="19"/>
  </cols>
  <sheetData>
    <row r="1" spans="1:16" ht="132">
      <c r="A1" s="1" t="s">
        <v>45</v>
      </c>
      <c r="B1" s="2" t="s">
        <v>46</v>
      </c>
      <c r="C1" s="4" t="s">
        <v>49</v>
      </c>
      <c r="D1" s="71" t="s">
        <v>51</v>
      </c>
      <c r="E1" s="71" t="s">
        <v>0</v>
      </c>
      <c r="F1" s="4" t="s">
        <v>52</v>
      </c>
      <c r="G1" s="5" t="s">
        <v>56</v>
      </c>
      <c r="H1" s="7" t="s">
        <v>57</v>
      </c>
      <c r="I1" s="5" t="s">
        <v>59</v>
      </c>
      <c r="J1" s="73" t="s">
        <v>105</v>
      </c>
      <c r="K1" s="7" t="s">
        <v>60</v>
      </c>
      <c r="L1" s="7" t="s">
        <v>61</v>
      </c>
      <c r="M1" s="4" t="s">
        <v>62</v>
      </c>
      <c r="N1" s="4" t="s">
        <v>85</v>
      </c>
      <c r="O1" s="10" t="s">
        <v>86</v>
      </c>
      <c r="P1" s="7" t="s">
        <v>87</v>
      </c>
    </row>
    <row r="2" spans="1:16">
      <c r="A2" s="20" t="s">
        <v>5</v>
      </c>
      <c r="B2" s="21">
        <v>42774.5</v>
      </c>
      <c r="C2" s="119">
        <v>1337.9370000000001</v>
      </c>
      <c r="D2" s="88">
        <v>538</v>
      </c>
      <c r="E2" s="88">
        <v>80</v>
      </c>
      <c r="F2" s="22">
        <v>7.57</v>
      </c>
      <c r="G2" s="22">
        <v>8.6E-3</v>
      </c>
      <c r="H2" s="22">
        <v>0.154</v>
      </c>
      <c r="I2" s="22">
        <v>59.8</v>
      </c>
      <c r="J2" s="72">
        <f t="shared" ref="J2:J5" si="0">L2-K2</f>
        <v>0</v>
      </c>
      <c r="K2" s="24">
        <f>0.5* 0.005</f>
        <v>2.5000000000000001E-3</v>
      </c>
      <c r="L2" s="24">
        <f>0.5* 0.005</f>
        <v>2.5000000000000001E-3</v>
      </c>
      <c r="M2" s="24">
        <f>0.5* 0.5</f>
        <v>0.25</v>
      </c>
      <c r="N2" s="86">
        <v>2.15E-3</v>
      </c>
      <c r="O2" s="22">
        <v>1.8500000000000001E-3</v>
      </c>
      <c r="P2" s="22">
        <v>7.6E-3</v>
      </c>
    </row>
    <row r="3" spans="1:16">
      <c r="A3" s="20" t="s">
        <v>5</v>
      </c>
      <c r="B3" s="21">
        <v>42914.5</v>
      </c>
      <c r="C3" s="119">
        <v>1338.8770000000002</v>
      </c>
      <c r="D3" s="88">
        <v>519</v>
      </c>
      <c r="E3" s="88">
        <v>75.8</v>
      </c>
      <c r="F3" s="22">
        <v>7.18</v>
      </c>
      <c r="G3" s="24">
        <f>0.5* 0.005</f>
        <v>2.5000000000000001E-3</v>
      </c>
      <c r="H3" s="22">
        <v>0.152</v>
      </c>
      <c r="I3" s="22">
        <v>59.8</v>
      </c>
      <c r="J3" s="72">
        <f t="shared" si="0"/>
        <v>1.67E-2</v>
      </c>
      <c r="K3" s="24">
        <f>0.5* 0.005</f>
        <v>2.5000000000000001E-3</v>
      </c>
      <c r="L3" s="22">
        <v>1.9199999999999998E-2</v>
      </c>
      <c r="M3" s="24">
        <f>0.5* 0.5</f>
        <v>0.25</v>
      </c>
      <c r="N3" s="86">
        <v>3.5799999999999998E-3</v>
      </c>
      <c r="O3" s="22">
        <v>9.3000000000000005E-4</v>
      </c>
      <c r="P3" s="24">
        <f>0.5* 0.01</f>
        <v>5.0000000000000001E-3</v>
      </c>
    </row>
    <row r="4" spans="1:16">
      <c r="A4" s="20" t="s">
        <v>5</v>
      </c>
      <c r="B4" s="21">
        <v>42998.5</v>
      </c>
      <c r="C4" s="119">
        <v>1338.6570000000002</v>
      </c>
      <c r="D4" s="88">
        <v>501</v>
      </c>
      <c r="E4" s="88">
        <v>74.099999999999994</v>
      </c>
      <c r="F4" s="22">
        <v>7.64</v>
      </c>
      <c r="G4" s="22">
        <v>9.2999999999999992E-3</v>
      </c>
      <c r="H4" s="22">
        <v>0.19700000000000001</v>
      </c>
      <c r="I4" s="22">
        <v>61.2</v>
      </c>
      <c r="J4" s="72">
        <f t="shared" si="0"/>
        <v>5.1000000000000004E-3</v>
      </c>
      <c r="K4" s="24">
        <f>0.5* 0.005</f>
        <v>2.5000000000000001E-3</v>
      </c>
      <c r="L4" s="22">
        <v>7.6E-3</v>
      </c>
      <c r="M4" s="24">
        <f>0.5* 0.5</f>
        <v>0.25</v>
      </c>
      <c r="N4" s="86">
        <v>3.5699999999999998E-3</v>
      </c>
      <c r="O4" s="22">
        <v>2.5300000000000001E-3</v>
      </c>
      <c r="P4" s="24">
        <f>0.5* 0.01</f>
        <v>5.0000000000000001E-3</v>
      </c>
    </row>
    <row r="5" spans="1:16">
      <c r="A5" s="20" t="s">
        <v>5</v>
      </c>
      <c r="B5" s="21">
        <v>43089</v>
      </c>
      <c r="C5" s="126">
        <v>1338.7370000000001</v>
      </c>
      <c r="D5" s="88">
        <v>367.5</v>
      </c>
      <c r="E5" s="88">
        <v>79.099999999999994</v>
      </c>
      <c r="F5" s="22">
        <v>7.45</v>
      </c>
      <c r="G5" s="22">
        <v>1.4E-2</v>
      </c>
      <c r="H5" s="22">
        <v>0.22</v>
      </c>
      <c r="I5" s="22">
        <v>61.7</v>
      </c>
      <c r="J5" s="72">
        <f t="shared" si="0"/>
        <v>8.7999999999999988E-3</v>
      </c>
      <c r="K5" s="24">
        <f>0.5* 0.005</f>
        <v>2.5000000000000001E-3</v>
      </c>
      <c r="L5" s="22">
        <v>1.1299999999999999E-2</v>
      </c>
      <c r="M5" s="22">
        <v>0.67</v>
      </c>
      <c r="N5" s="86">
        <v>4.7499999999999999E-3</v>
      </c>
      <c r="O5" s="22">
        <v>3.5500000000000002E-3</v>
      </c>
      <c r="P5" s="24">
        <f>0.5* 0.01</f>
        <v>5.0000000000000001E-3</v>
      </c>
    </row>
    <row r="6" spans="1:16">
      <c r="A6" s="14"/>
      <c r="B6" s="15" t="s">
        <v>100</v>
      </c>
      <c r="C6" s="30">
        <f>MIN(C2:C5)</f>
        <v>1337.9370000000001</v>
      </c>
      <c r="D6" s="16">
        <f t="shared" ref="D6:P6" si="1">MIN(D2:D5)</f>
        <v>367.5</v>
      </c>
      <c r="E6" s="16">
        <f t="shared" si="1"/>
        <v>74.099999999999994</v>
      </c>
      <c r="F6" s="30">
        <f t="shared" si="1"/>
        <v>7.18</v>
      </c>
      <c r="G6" s="31">
        <f t="shared" si="1"/>
        <v>2.5000000000000001E-3</v>
      </c>
      <c r="H6" s="31">
        <f t="shared" si="1"/>
        <v>0.152</v>
      </c>
      <c r="I6" s="30">
        <f t="shared" si="1"/>
        <v>59.8</v>
      </c>
      <c r="J6" s="64">
        <f t="shared" si="1"/>
        <v>0</v>
      </c>
      <c r="K6" s="31">
        <f t="shared" si="1"/>
        <v>2.5000000000000001E-3</v>
      </c>
      <c r="L6" s="31">
        <f t="shared" si="1"/>
        <v>2.5000000000000001E-3</v>
      </c>
      <c r="M6" s="30">
        <f t="shared" si="1"/>
        <v>0.25</v>
      </c>
      <c r="N6" s="30">
        <f t="shared" si="1"/>
        <v>2.15E-3</v>
      </c>
      <c r="O6" s="38">
        <f t="shared" si="1"/>
        <v>9.3000000000000005E-4</v>
      </c>
      <c r="P6" s="31">
        <f t="shared" si="1"/>
        <v>5.0000000000000001E-3</v>
      </c>
    </row>
    <row r="7" spans="1:16">
      <c r="A7" s="14"/>
      <c r="B7" s="15" t="s">
        <v>101</v>
      </c>
      <c r="C7" s="30">
        <f>MAX(C2:C5)</f>
        <v>1338.8770000000002</v>
      </c>
      <c r="D7" s="16">
        <f t="shared" ref="D7:P7" si="2">MAX(D2:D5)</f>
        <v>538</v>
      </c>
      <c r="E7" s="16">
        <f t="shared" si="2"/>
        <v>80</v>
      </c>
      <c r="F7" s="30">
        <f t="shared" si="2"/>
        <v>7.64</v>
      </c>
      <c r="G7" s="31">
        <f t="shared" si="2"/>
        <v>1.4E-2</v>
      </c>
      <c r="H7" s="31">
        <f t="shared" si="2"/>
        <v>0.22</v>
      </c>
      <c r="I7" s="30">
        <f t="shared" si="2"/>
        <v>61.7</v>
      </c>
      <c r="J7" s="64">
        <f t="shared" si="2"/>
        <v>1.67E-2</v>
      </c>
      <c r="K7" s="31">
        <f t="shared" si="2"/>
        <v>2.5000000000000001E-3</v>
      </c>
      <c r="L7" s="31">
        <f t="shared" si="2"/>
        <v>1.9199999999999998E-2</v>
      </c>
      <c r="M7" s="30">
        <f t="shared" si="2"/>
        <v>0.67</v>
      </c>
      <c r="N7" s="30">
        <f t="shared" si="2"/>
        <v>4.7499999999999999E-3</v>
      </c>
      <c r="O7" s="38">
        <f t="shared" si="2"/>
        <v>3.5500000000000002E-3</v>
      </c>
      <c r="P7" s="31">
        <f t="shared" si="2"/>
        <v>7.6E-3</v>
      </c>
    </row>
    <row r="8" spans="1:16">
      <c r="A8" s="14"/>
      <c r="B8" s="15" t="s">
        <v>102</v>
      </c>
      <c r="C8" s="30">
        <f>AVERAGE(C2:C5)</f>
        <v>1338.5520000000001</v>
      </c>
      <c r="D8" s="16">
        <f t="shared" ref="D8:P8" si="3">AVERAGE(D2:D5)</f>
        <v>481.375</v>
      </c>
      <c r="E8" s="16">
        <f t="shared" si="3"/>
        <v>77.25</v>
      </c>
      <c r="F8" s="30">
        <f t="shared" si="3"/>
        <v>7.46</v>
      </c>
      <c r="G8" s="31">
        <f t="shared" si="3"/>
        <v>8.6E-3</v>
      </c>
      <c r="H8" s="31">
        <f t="shared" si="3"/>
        <v>0.18074999999999999</v>
      </c>
      <c r="I8" s="30">
        <f t="shared" si="3"/>
        <v>60.625</v>
      </c>
      <c r="J8" s="64">
        <f t="shared" si="3"/>
        <v>7.6499999999999997E-3</v>
      </c>
      <c r="K8" s="31">
        <f t="shared" si="3"/>
        <v>2.5000000000000001E-3</v>
      </c>
      <c r="L8" s="31">
        <f t="shared" si="3"/>
        <v>1.0149999999999999E-2</v>
      </c>
      <c r="M8" s="30">
        <f t="shared" si="3"/>
        <v>0.35499999999999998</v>
      </c>
      <c r="N8" s="30">
        <f t="shared" si="3"/>
        <v>3.5125E-3</v>
      </c>
      <c r="O8" s="38">
        <f t="shared" si="3"/>
        <v>2.215E-3</v>
      </c>
      <c r="P8" s="31">
        <f t="shared" si="3"/>
        <v>5.6500000000000005E-3</v>
      </c>
    </row>
    <row r="9" spans="1:16">
      <c r="A9" s="14"/>
      <c r="B9" s="15" t="s">
        <v>103</v>
      </c>
      <c r="C9" s="30">
        <f>_xlfn.STDEV.P(C2:C5)</f>
        <v>0.36369630187837504</v>
      </c>
      <c r="D9" s="16">
        <f t="shared" ref="D9:P9" si="4">_xlfn.STDEV.P(D2:D5)</f>
        <v>67.034855672254565</v>
      </c>
      <c r="E9" s="16">
        <f t="shared" si="4"/>
        <v>2.3984369910422925</v>
      </c>
      <c r="F9" s="30">
        <f t="shared" si="4"/>
        <v>0.17535677916750189</v>
      </c>
      <c r="G9" s="31">
        <f t="shared" si="4"/>
        <v>4.0883982193519247E-3</v>
      </c>
      <c r="H9" s="31">
        <f t="shared" si="4"/>
        <v>2.8925550988702052E-2</v>
      </c>
      <c r="I9" s="30">
        <f t="shared" si="4"/>
        <v>0.84372685153431304</v>
      </c>
      <c r="J9" s="64">
        <f t="shared" si="4"/>
        <v>6.0878978309429595E-3</v>
      </c>
      <c r="K9" s="31">
        <f t="shared" si="4"/>
        <v>0</v>
      </c>
      <c r="L9" s="31">
        <f t="shared" si="4"/>
        <v>6.0878978309429612E-3</v>
      </c>
      <c r="M9" s="30">
        <f t="shared" si="4"/>
        <v>0.18186533479473219</v>
      </c>
      <c r="N9" s="30">
        <f t="shared" si="4"/>
        <v>9.213678689861069E-4</v>
      </c>
      <c r="O9" s="38">
        <f t="shared" si="4"/>
        <v>9.5732700787139614E-4</v>
      </c>
      <c r="P9" s="31">
        <f t="shared" si="4"/>
        <v>1.1258330249197702E-3</v>
      </c>
    </row>
    <row r="10" spans="1:16" ht="12.75" customHeight="1">
      <c r="A10" s="17"/>
      <c r="B10" s="131" t="s">
        <v>112</v>
      </c>
      <c r="C10" s="130"/>
      <c r="D10" s="130"/>
      <c r="E10" s="130"/>
      <c r="F10" s="130"/>
      <c r="G10" s="130"/>
      <c r="H10" s="130"/>
      <c r="I10" s="130"/>
      <c r="J10" s="130"/>
      <c r="K10" s="130"/>
      <c r="L10" s="130"/>
      <c r="M10" s="130"/>
      <c r="N10" s="130"/>
      <c r="O10" s="130"/>
      <c r="P10" s="130"/>
    </row>
    <row r="11" spans="1:16" ht="12.75" customHeight="1">
      <c r="A11" s="17"/>
      <c r="B11" s="130" t="s">
        <v>117</v>
      </c>
      <c r="C11" s="130"/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</row>
    <row r="12" spans="1:16" ht="12.75" customHeight="1">
      <c r="A12" s="17"/>
      <c r="B12" s="130" t="s">
        <v>114</v>
      </c>
      <c r="C12" s="130"/>
      <c r="D12" s="130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</row>
    <row r="13" spans="1:16" ht="12.75" customHeight="1">
      <c r="A13" s="17"/>
      <c r="B13" s="130" t="s">
        <v>108</v>
      </c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</row>
    <row r="14" spans="1:16" ht="12.75" customHeight="1">
      <c r="A14" s="18"/>
      <c r="B14" s="130" t="s">
        <v>115</v>
      </c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</row>
    <row r="15" spans="1:16" ht="12.75" customHeight="1"/>
  </sheetData>
  <mergeCells count="5">
    <mergeCell ref="B10:P10"/>
    <mergeCell ref="B11:P11"/>
    <mergeCell ref="B12:P12"/>
    <mergeCell ref="B13:P13"/>
    <mergeCell ref="B14:P14"/>
  </mergeCells>
  <printOptions horizontalCentered="1"/>
  <pageMargins left="0.25" right="0.25" top="1.0833333333333299" bottom="0.75" header="0.3" footer="0.3"/>
  <pageSetup orientation="landscape" r:id="rId1"/>
  <headerFooter alignWithMargins="0">
    <oddHeader>&amp;LBarrick Gold Inc. - Nickel Plate Mine&amp;C&amp;"-,Regular"&amp;18
Table 27 - P40 Data&amp;RAnnual Report, 2017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5"/>
  <sheetViews>
    <sheetView zoomScaleNormal="100" workbookViewId="0">
      <selection activeCell="B33" sqref="B33"/>
    </sheetView>
  </sheetViews>
  <sheetFormatPr defaultColWidth="9.1328125" defaultRowHeight="15.75"/>
  <cols>
    <col min="1" max="1" width="4.3984375" style="19" customWidth="1"/>
    <col min="2" max="2" width="11" style="23" customWidth="1"/>
    <col min="3" max="3" width="9.73046875" style="19" bestFit="1" customWidth="1"/>
    <col min="4" max="5" width="6.86328125" style="89" customWidth="1"/>
    <col min="6" max="6" width="5.73046875" style="19" customWidth="1"/>
    <col min="7" max="8" width="9.1328125" style="19" customWidth="1"/>
    <col min="9" max="9" width="9.73046875" style="19" customWidth="1"/>
    <col min="10" max="10" width="7.265625" style="74" customWidth="1"/>
    <col min="11" max="12" width="8.1328125" style="19" customWidth="1"/>
    <col min="13" max="13" width="9.73046875" style="19" customWidth="1"/>
    <col min="14" max="14" width="5.73046875" style="87" customWidth="1"/>
    <col min="15" max="15" width="9.265625" style="19" customWidth="1"/>
    <col min="16" max="16" width="8" style="19" customWidth="1"/>
    <col min="17" max="16384" width="9.1328125" style="19"/>
  </cols>
  <sheetData>
    <row r="1" spans="1:16" ht="132">
      <c r="A1" s="1" t="s">
        <v>45</v>
      </c>
      <c r="B1" s="2" t="s">
        <v>46</v>
      </c>
      <c r="C1" s="4" t="s">
        <v>49</v>
      </c>
      <c r="D1" s="71" t="s">
        <v>51</v>
      </c>
      <c r="E1" s="71" t="s">
        <v>0</v>
      </c>
      <c r="F1" s="4" t="s">
        <v>52</v>
      </c>
      <c r="G1" s="5" t="s">
        <v>56</v>
      </c>
      <c r="H1" s="7" t="s">
        <v>57</v>
      </c>
      <c r="I1" s="5" t="s">
        <v>59</v>
      </c>
      <c r="J1" s="73" t="s">
        <v>105</v>
      </c>
      <c r="K1" s="7" t="s">
        <v>60</v>
      </c>
      <c r="L1" s="7" t="s">
        <v>61</v>
      </c>
      <c r="M1" s="4" t="s">
        <v>62</v>
      </c>
      <c r="N1" s="4" t="s">
        <v>85</v>
      </c>
      <c r="O1" s="10" t="s">
        <v>86</v>
      </c>
      <c r="P1" s="7" t="s">
        <v>87</v>
      </c>
    </row>
    <row r="2" spans="1:16">
      <c r="A2" s="20" t="s">
        <v>6</v>
      </c>
      <c r="B2" s="21">
        <v>42774.5</v>
      </c>
      <c r="C2" s="119">
        <v>1339.779</v>
      </c>
      <c r="D2" s="88">
        <v>432</v>
      </c>
      <c r="E2" s="88">
        <v>178</v>
      </c>
      <c r="F2" s="22">
        <v>7.86</v>
      </c>
      <c r="G2" s="22">
        <v>0.17199999999999999</v>
      </c>
      <c r="H2" s="22">
        <v>1.6899999999999998E-2</v>
      </c>
      <c r="I2" s="22">
        <v>84.8</v>
      </c>
      <c r="J2" s="72">
        <f t="shared" ref="J2:J5" si="0">L2-K2</f>
        <v>2.9999999999999996E-3</v>
      </c>
      <c r="K2" s="24">
        <f>0.5* 0.005</f>
        <v>2.5000000000000001E-3</v>
      </c>
      <c r="L2" s="22">
        <v>5.4999999999999997E-3</v>
      </c>
      <c r="M2" s="24">
        <f>0.5* 0.5</f>
        <v>0.25</v>
      </c>
      <c r="N2" s="86">
        <v>2.9399999999999999E-3</v>
      </c>
      <c r="O2" s="24">
        <f>0.5* 0.0001</f>
        <v>5.0000000000000002E-5</v>
      </c>
      <c r="P2" s="22">
        <v>1.6000000000000001E-3</v>
      </c>
    </row>
    <row r="3" spans="1:16">
      <c r="A3" s="20" t="s">
        <v>6</v>
      </c>
      <c r="B3" s="21">
        <v>42851.5</v>
      </c>
      <c r="C3" s="119" t="s">
        <v>96</v>
      </c>
      <c r="D3" s="88">
        <v>411</v>
      </c>
      <c r="E3" s="88">
        <v>158</v>
      </c>
      <c r="F3" s="22">
        <v>8.23</v>
      </c>
      <c r="G3" s="22">
        <v>0.17699999999999999</v>
      </c>
      <c r="H3" s="22">
        <v>0.44800000000000001</v>
      </c>
      <c r="I3" s="22">
        <v>80.099999999999994</v>
      </c>
      <c r="J3" s="72">
        <f t="shared" si="0"/>
        <v>6.6E-3</v>
      </c>
      <c r="K3" s="24">
        <f>0.5* 0.005</f>
        <v>2.5000000000000001E-3</v>
      </c>
      <c r="L3" s="22">
        <v>9.1000000000000004E-3</v>
      </c>
      <c r="M3" s="24">
        <f>0.5* 0.5</f>
        <v>0.25</v>
      </c>
      <c r="N3" s="86">
        <v>6.8700000000000002E-3</v>
      </c>
      <c r="O3" s="22">
        <v>4.8999999999999998E-4</v>
      </c>
      <c r="P3" s="22">
        <v>1.6E-2</v>
      </c>
    </row>
    <row r="4" spans="1:16">
      <c r="A4" s="20" t="s">
        <v>6</v>
      </c>
      <c r="B4" s="21">
        <v>42998.5</v>
      </c>
      <c r="C4" s="119">
        <v>1339.6390000000001</v>
      </c>
      <c r="D4" s="88">
        <v>429</v>
      </c>
      <c r="E4" s="88">
        <v>167</v>
      </c>
      <c r="F4" s="22">
        <v>8.24</v>
      </c>
      <c r="G4" s="22">
        <v>8.8300000000000003E-2</v>
      </c>
      <c r="H4" s="22">
        <v>4.8500000000000001E-2</v>
      </c>
      <c r="I4" s="22">
        <v>88.7</v>
      </c>
      <c r="J4" s="72">
        <f t="shared" si="0"/>
        <v>0</v>
      </c>
      <c r="K4" s="24">
        <f>0.5* 0.005</f>
        <v>2.5000000000000001E-3</v>
      </c>
      <c r="L4" s="24">
        <f>0.5* 0.005</f>
        <v>2.5000000000000001E-3</v>
      </c>
      <c r="M4" s="24">
        <f>0.5* 0.5</f>
        <v>0.25</v>
      </c>
      <c r="N4" s="86">
        <v>2.7799999999999999E-3</v>
      </c>
      <c r="O4" s="22">
        <v>2.1000000000000001E-4</v>
      </c>
      <c r="P4" s="24">
        <f>0.5* 0.01</f>
        <v>5.0000000000000001E-3</v>
      </c>
    </row>
    <row r="5" spans="1:16">
      <c r="A5" s="20" t="s">
        <v>6</v>
      </c>
      <c r="B5" s="21">
        <v>43089</v>
      </c>
      <c r="C5" s="126">
        <v>1339.8290000000002</v>
      </c>
      <c r="D5" s="88">
        <v>284.89999999999998</v>
      </c>
      <c r="E5" s="88">
        <v>134</v>
      </c>
      <c r="F5" s="22">
        <v>8.0500000000000007</v>
      </c>
      <c r="G5" s="22">
        <v>0.245</v>
      </c>
      <c r="H5" s="22">
        <v>0.27400000000000002</v>
      </c>
      <c r="I5" s="22">
        <v>74.3</v>
      </c>
      <c r="J5" s="72">
        <f t="shared" si="0"/>
        <v>6.4999999999999988E-3</v>
      </c>
      <c r="K5" s="24">
        <f>0.5* 0.005</f>
        <v>2.5000000000000001E-3</v>
      </c>
      <c r="L5" s="22">
        <v>8.9999999999999993E-3</v>
      </c>
      <c r="M5" s="24">
        <f>0.5* 0.5</f>
        <v>0.25</v>
      </c>
      <c r="N5" s="86">
        <v>5.96E-3</v>
      </c>
      <c r="O5" s="22">
        <v>1.9400000000000001E-3</v>
      </c>
      <c r="P5" s="24">
        <f>0.5* 0.01</f>
        <v>5.0000000000000001E-3</v>
      </c>
    </row>
    <row r="6" spans="1:16">
      <c r="A6" s="14"/>
      <c r="B6" s="15" t="s">
        <v>100</v>
      </c>
      <c r="C6" s="30">
        <f>MIN(C2:C5)</f>
        <v>1339.6390000000001</v>
      </c>
      <c r="D6" s="16">
        <f t="shared" ref="D6:P6" si="1">MIN(D2:D5)</f>
        <v>284.89999999999998</v>
      </c>
      <c r="E6" s="16">
        <f t="shared" si="1"/>
        <v>134</v>
      </c>
      <c r="F6" s="30">
        <f t="shared" si="1"/>
        <v>7.86</v>
      </c>
      <c r="G6" s="31">
        <f t="shared" si="1"/>
        <v>8.8300000000000003E-2</v>
      </c>
      <c r="H6" s="31">
        <f t="shared" si="1"/>
        <v>1.6899999999999998E-2</v>
      </c>
      <c r="I6" s="30">
        <f t="shared" si="1"/>
        <v>74.3</v>
      </c>
      <c r="J6" s="64">
        <f t="shared" si="1"/>
        <v>0</v>
      </c>
      <c r="K6" s="31">
        <f t="shared" si="1"/>
        <v>2.5000000000000001E-3</v>
      </c>
      <c r="L6" s="31">
        <f t="shared" si="1"/>
        <v>2.5000000000000001E-3</v>
      </c>
      <c r="M6" s="30">
        <f t="shared" si="1"/>
        <v>0.25</v>
      </c>
      <c r="N6" s="30">
        <f t="shared" si="1"/>
        <v>2.7799999999999999E-3</v>
      </c>
      <c r="O6" s="38">
        <f t="shared" si="1"/>
        <v>5.0000000000000002E-5</v>
      </c>
      <c r="P6" s="31">
        <f t="shared" si="1"/>
        <v>1.6000000000000001E-3</v>
      </c>
    </row>
    <row r="7" spans="1:16">
      <c r="A7" s="14"/>
      <c r="B7" s="15" t="s">
        <v>101</v>
      </c>
      <c r="C7" s="30">
        <f>MAX(C2:C5)</f>
        <v>1339.8290000000002</v>
      </c>
      <c r="D7" s="16">
        <f t="shared" ref="D7:P7" si="2">MAX(D2:D5)</f>
        <v>432</v>
      </c>
      <c r="E7" s="16">
        <f t="shared" si="2"/>
        <v>178</v>
      </c>
      <c r="F7" s="30">
        <f t="shared" si="2"/>
        <v>8.24</v>
      </c>
      <c r="G7" s="31">
        <f t="shared" si="2"/>
        <v>0.245</v>
      </c>
      <c r="H7" s="31">
        <f t="shared" si="2"/>
        <v>0.44800000000000001</v>
      </c>
      <c r="I7" s="30">
        <f t="shared" si="2"/>
        <v>88.7</v>
      </c>
      <c r="J7" s="64">
        <f t="shared" si="2"/>
        <v>6.6E-3</v>
      </c>
      <c r="K7" s="31">
        <f t="shared" si="2"/>
        <v>2.5000000000000001E-3</v>
      </c>
      <c r="L7" s="31">
        <f t="shared" si="2"/>
        <v>9.1000000000000004E-3</v>
      </c>
      <c r="M7" s="30">
        <f t="shared" si="2"/>
        <v>0.25</v>
      </c>
      <c r="N7" s="30">
        <f t="shared" si="2"/>
        <v>6.8700000000000002E-3</v>
      </c>
      <c r="O7" s="38">
        <f t="shared" si="2"/>
        <v>1.9400000000000001E-3</v>
      </c>
      <c r="P7" s="31">
        <f t="shared" si="2"/>
        <v>1.6E-2</v>
      </c>
    </row>
    <row r="8" spans="1:16">
      <c r="A8" s="14"/>
      <c r="B8" s="15" t="s">
        <v>102</v>
      </c>
      <c r="C8" s="30">
        <f>AVERAGE(C2:C5)</f>
        <v>1339.749</v>
      </c>
      <c r="D8" s="16">
        <f t="shared" ref="D8:P8" si="3">AVERAGE(D2:D5)</f>
        <v>389.22500000000002</v>
      </c>
      <c r="E8" s="16">
        <f t="shared" si="3"/>
        <v>159.25</v>
      </c>
      <c r="F8" s="30">
        <f t="shared" si="3"/>
        <v>8.0949999999999989</v>
      </c>
      <c r="G8" s="31">
        <f t="shared" si="3"/>
        <v>0.17057499999999998</v>
      </c>
      <c r="H8" s="31">
        <f t="shared" si="3"/>
        <v>0.19685</v>
      </c>
      <c r="I8" s="30">
        <f t="shared" si="3"/>
        <v>81.974999999999994</v>
      </c>
      <c r="J8" s="64">
        <f t="shared" si="3"/>
        <v>4.0249999999999991E-3</v>
      </c>
      <c r="K8" s="31">
        <f t="shared" si="3"/>
        <v>2.5000000000000001E-3</v>
      </c>
      <c r="L8" s="31">
        <f t="shared" si="3"/>
        <v>6.5249999999999996E-3</v>
      </c>
      <c r="M8" s="30">
        <f t="shared" si="3"/>
        <v>0.25</v>
      </c>
      <c r="N8" s="30">
        <f t="shared" si="3"/>
        <v>4.6374999999999993E-3</v>
      </c>
      <c r="O8" s="38">
        <f t="shared" si="3"/>
        <v>6.7250000000000003E-4</v>
      </c>
      <c r="P8" s="31">
        <f t="shared" si="3"/>
        <v>6.9000000000000008E-3</v>
      </c>
    </row>
    <row r="9" spans="1:16">
      <c r="A9" s="14"/>
      <c r="B9" s="15" t="s">
        <v>103</v>
      </c>
      <c r="C9" s="30">
        <f>_xlfn.STDEV.P(C2:C5)</f>
        <v>8.0415587212101056E-2</v>
      </c>
      <c r="D9" s="16">
        <f t="shared" ref="D9:P9" si="4">_xlfn.STDEV.P(D2:D5)</f>
        <v>60.765137003054484</v>
      </c>
      <c r="E9" s="16">
        <f t="shared" si="4"/>
        <v>16.207637088730731</v>
      </c>
      <c r="F9" s="30">
        <f t="shared" si="4"/>
        <v>0.15532224567009065</v>
      </c>
      <c r="G9" s="31">
        <f t="shared" si="4"/>
        <v>5.5568803073307284E-2</v>
      </c>
      <c r="H9" s="31">
        <f t="shared" si="4"/>
        <v>0.17565461138267907</v>
      </c>
      <c r="I9" s="30">
        <f t="shared" si="4"/>
        <v>5.3765114154068359</v>
      </c>
      <c r="J9" s="64">
        <f t="shared" si="4"/>
        <v>2.7389550927315333E-3</v>
      </c>
      <c r="K9" s="31">
        <f t="shared" si="4"/>
        <v>0</v>
      </c>
      <c r="L9" s="31">
        <f t="shared" si="4"/>
        <v>2.7389550927315333E-3</v>
      </c>
      <c r="M9" s="30">
        <f t="shared" si="4"/>
        <v>0</v>
      </c>
      <c r="N9" s="30">
        <f t="shared" si="4"/>
        <v>1.807268311568595E-3</v>
      </c>
      <c r="O9" s="38">
        <f t="shared" si="4"/>
        <v>7.485444208595773E-4</v>
      </c>
      <c r="P9" s="31">
        <f t="shared" si="4"/>
        <v>5.4341512676774079E-3</v>
      </c>
    </row>
    <row r="10" spans="1:16" ht="12.75" customHeight="1">
      <c r="A10" s="17"/>
      <c r="B10" s="131" t="s">
        <v>112</v>
      </c>
      <c r="C10" s="130"/>
      <c r="D10" s="130"/>
      <c r="E10" s="130"/>
      <c r="F10" s="130"/>
      <c r="G10" s="130"/>
      <c r="H10" s="130"/>
      <c r="I10" s="130"/>
      <c r="J10" s="130"/>
      <c r="K10" s="130"/>
      <c r="L10" s="130"/>
      <c r="M10" s="130"/>
      <c r="N10" s="130"/>
      <c r="O10" s="130"/>
      <c r="P10" s="130"/>
    </row>
    <row r="11" spans="1:16" ht="12.75" customHeight="1">
      <c r="A11" s="17"/>
      <c r="B11" s="130" t="s">
        <v>117</v>
      </c>
      <c r="C11" s="130"/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</row>
    <row r="12" spans="1:16" ht="12.75" customHeight="1">
      <c r="A12" s="17"/>
      <c r="B12" s="130" t="s">
        <v>114</v>
      </c>
      <c r="C12" s="130"/>
      <c r="D12" s="130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</row>
    <row r="13" spans="1:16" ht="12.75" customHeight="1">
      <c r="A13" s="17"/>
      <c r="B13" s="130" t="s">
        <v>108</v>
      </c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</row>
    <row r="14" spans="1:16" ht="12.75" customHeight="1">
      <c r="A14" s="18"/>
      <c r="B14" s="130" t="s">
        <v>115</v>
      </c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</row>
    <row r="15" spans="1:16" ht="12.75" customHeight="1"/>
  </sheetData>
  <mergeCells count="5">
    <mergeCell ref="B10:P10"/>
    <mergeCell ref="B11:P11"/>
    <mergeCell ref="B12:P12"/>
    <mergeCell ref="B13:P13"/>
    <mergeCell ref="B14:P14"/>
  </mergeCells>
  <printOptions horizontalCentered="1"/>
  <pageMargins left="0.25" right="0.25" top="1.0833333333333299" bottom="0.75" header="0.3" footer="0.3"/>
  <pageSetup orientation="landscape" r:id="rId1"/>
  <headerFooter alignWithMargins="0">
    <oddHeader>&amp;LBarrick Gold Inc. - Nickel Plate Mine&amp;C&amp;"-,Regular"&amp;18
Table 28 - P41 Data&amp;RAnnual Report, 2017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P15"/>
  <sheetViews>
    <sheetView zoomScaleNormal="100" workbookViewId="0">
      <selection activeCell="B33" sqref="B33"/>
    </sheetView>
  </sheetViews>
  <sheetFormatPr defaultColWidth="9.1328125" defaultRowHeight="15.75"/>
  <cols>
    <col min="1" max="1" width="4.3984375" style="19" customWidth="1"/>
    <col min="2" max="2" width="11" style="23" customWidth="1"/>
    <col min="3" max="3" width="9.73046875" style="19" bestFit="1" customWidth="1"/>
    <col min="4" max="5" width="6.86328125" style="89" customWidth="1"/>
    <col min="6" max="6" width="5.73046875" style="19" customWidth="1"/>
    <col min="7" max="8" width="9.1328125" style="19" customWidth="1"/>
    <col min="9" max="9" width="9.73046875" style="19" customWidth="1"/>
    <col min="10" max="10" width="7.265625" style="74" customWidth="1"/>
    <col min="11" max="12" width="8.1328125" style="19" customWidth="1"/>
    <col min="13" max="13" width="9.73046875" style="19" customWidth="1"/>
    <col min="14" max="14" width="5.73046875" style="87" customWidth="1"/>
    <col min="15" max="15" width="9.265625" style="19" customWidth="1"/>
    <col min="16" max="16" width="8" style="19" customWidth="1"/>
    <col min="17" max="16384" width="9.1328125" style="19"/>
  </cols>
  <sheetData>
    <row r="1" spans="1:16" ht="132">
      <c r="A1" s="1" t="s">
        <v>45</v>
      </c>
      <c r="B1" s="2" t="s">
        <v>46</v>
      </c>
      <c r="C1" s="4" t="s">
        <v>49</v>
      </c>
      <c r="D1" s="71" t="s">
        <v>51</v>
      </c>
      <c r="E1" s="71" t="s">
        <v>0</v>
      </c>
      <c r="F1" s="4" t="s">
        <v>52</v>
      </c>
      <c r="G1" s="5" t="s">
        <v>56</v>
      </c>
      <c r="H1" s="7" t="s">
        <v>57</v>
      </c>
      <c r="I1" s="5" t="s">
        <v>59</v>
      </c>
      <c r="J1" s="73" t="s">
        <v>105</v>
      </c>
      <c r="K1" s="7" t="s">
        <v>60</v>
      </c>
      <c r="L1" s="7" t="s">
        <v>61</v>
      </c>
      <c r="M1" s="4" t="s">
        <v>62</v>
      </c>
      <c r="N1" s="4" t="s">
        <v>85</v>
      </c>
      <c r="O1" s="10" t="s">
        <v>86</v>
      </c>
      <c r="P1" s="7" t="s">
        <v>87</v>
      </c>
    </row>
    <row r="2" spans="1:16">
      <c r="A2" s="20" t="s">
        <v>7</v>
      </c>
      <c r="B2" s="21" t="s">
        <v>119</v>
      </c>
      <c r="C2" s="139" t="s">
        <v>128</v>
      </c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1"/>
    </row>
    <row r="3" spans="1:16">
      <c r="A3" s="20" t="s">
        <v>7</v>
      </c>
      <c r="B3" s="21">
        <v>42851.5</v>
      </c>
      <c r="C3" s="119" t="s">
        <v>96</v>
      </c>
      <c r="D3" s="88">
        <v>818</v>
      </c>
      <c r="E3" s="88">
        <v>475</v>
      </c>
      <c r="F3" s="22">
        <v>8.2799999999999994</v>
      </c>
      <c r="G3" s="22">
        <v>8.0999999999999996E-3</v>
      </c>
      <c r="H3" s="22">
        <v>11.7</v>
      </c>
      <c r="I3" s="22">
        <v>197</v>
      </c>
      <c r="J3" s="72">
        <f t="shared" ref="J3:J5" si="0">L3-K3</f>
        <v>3.3999999999999998E-3</v>
      </c>
      <c r="K3" s="24">
        <f>0.5* 0.005</f>
        <v>2.5000000000000001E-3</v>
      </c>
      <c r="L3" s="22">
        <v>5.8999999999999999E-3</v>
      </c>
      <c r="M3" s="24">
        <f>0.5* 0.5</f>
        <v>0.25</v>
      </c>
      <c r="N3" s="86">
        <v>2.3E-3</v>
      </c>
      <c r="O3" s="22">
        <v>2.1299999999999999E-3</v>
      </c>
      <c r="P3" s="24">
        <f>0.5* 0.01</f>
        <v>5.0000000000000001E-3</v>
      </c>
    </row>
    <row r="4" spans="1:16">
      <c r="A4" s="20" t="s">
        <v>7</v>
      </c>
      <c r="B4" s="21">
        <v>42942.5</v>
      </c>
      <c r="C4" s="119">
        <v>1459.337</v>
      </c>
      <c r="D4" s="88">
        <v>789</v>
      </c>
      <c r="E4" s="88">
        <v>441</v>
      </c>
      <c r="F4" s="22">
        <v>8.0399999999999991</v>
      </c>
      <c r="G4" s="22">
        <v>1.7399999999999999E-2</v>
      </c>
      <c r="H4" s="22">
        <v>12.1</v>
      </c>
      <c r="I4" s="22">
        <v>202</v>
      </c>
      <c r="J4" s="72">
        <f t="shared" si="0"/>
        <v>0</v>
      </c>
      <c r="K4" s="24">
        <f>0.5* 0.005</f>
        <v>2.5000000000000001E-3</v>
      </c>
      <c r="L4" s="24">
        <f>0.5* 0.005</f>
        <v>2.5000000000000001E-3</v>
      </c>
      <c r="M4" s="24">
        <f>0.5* 0.5</f>
        <v>0.25</v>
      </c>
      <c r="N4" s="86">
        <v>1.75E-3</v>
      </c>
      <c r="O4" s="22">
        <v>1.25E-3</v>
      </c>
      <c r="P4" s="24">
        <f>0.5* 0.01</f>
        <v>5.0000000000000001E-3</v>
      </c>
    </row>
    <row r="5" spans="1:16">
      <c r="A5" s="20" t="s">
        <v>7</v>
      </c>
      <c r="B5" s="21">
        <v>43033</v>
      </c>
      <c r="C5" s="126">
        <v>1459.1369999999999</v>
      </c>
      <c r="D5" s="88">
        <v>802</v>
      </c>
      <c r="E5" s="88">
        <v>478</v>
      </c>
      <c r="F5" s="22">
        <v>7.88</v>
      </c>
      <c r="G5" s="22">
        <v>1.5900000000000001E-2</v>
      </c>
      <c r="H5" s="22">
        <v>12.4</v>
      </c>
      <c r="I5" s="22">
        <v>207</v>
      </c>
      <c r="J5" s="72">
        <f t="shared" si="0"/>
        <v>0</v>
      </c>
      <c r="K5" s="24">
        <f>0.5* 0.005</f>
        <v>2.5000000000000001E-3</v>
      </c>
      <c r="L5" s="24">
        <f>0.5* 0.005</f>
        <v>2.5000000000000001E-3</v>
      </c>
      <c r="M5" s="24">
        <f>0.5* 0.5</f>
        <v>0.25</v>
      </c>
      <c r="N5" s="86">
        <v>1.24E-3</v>
      </c>
      <c r="O5" s="22">
        <v>1.6000000000000001E-3</v>
      </c>
      <c r="P5" s="24">
        <f>0.5* 0.01</f>
        <v>5.0000000000000001E-3</v>
      </c>
    </row>
    <row r="6" spans="1:16">
      <c r="A6" s="14"/>
      <c r="B6" s="15" t="s">
        <v>100</v>
      </c>
      <c r="C6" s="30">
        <f t="shared" ref="C6:P6" si="1">MIN(C2:C5)</f>
        <v>1459.1369999999999</v>
      </c>
      <c r="D6" s="16">
        <f t="shared" si="1"/>
        <v>789</v>
      </c>
      <c r="E6" s="16">
        <f t="shared" si="1"/>
        <v>441</v>
      </c>
      <c r="F6" s="30">
        <f t="shared" si="1"/>
        <v>7.88</v>
      </c>
      <c r="G6" s="31">
        <f t="shared" si="1"/>
        <v>8.0999999999999996E-3</v>
      </c>
      <c r="H6" s="31">
        <f t="shared" si="1"/>
        <v>11.7</v>
      </c>
      <c r="I6" s="30">
        <f t="shared" si="1"/>
        <v>197</v>
      </c>
      <c r="J6" s="64">
        <f t="shared" si="1"/>
        <v>0</v>
      </c>
      <c r="K6" s="31">
        <f t="shared" si="1"/>
        <v>2.5000000000000001E-3</v>
      </c>
      <c r="L6" s="31">
        <f t="shared" si="1"/>
        <v>2.5000000000000001E-3</v>
      </c>
      <c r="M6" s="30">
        <f t="shared" si="1"/>
        <v>0.25</v>
      </c>
      <c r="N6" s="30">
        <f t="shared" si="1"/>
        <v>1.24E-3</v>
      </c>
      <c r="O6" s="38">
        <f t="shared" si="1"/>
        <v>1.25E-3</v>
      </c>
      <c r="P6" s="31">
        <f t="shared" si="1"/>
        <v>5.0000000000000001E-3</v>
      </c>
    </row>
    <row r="7" spans="1:16">
      <c r="A7" s="14"/>
      <c r="B7" s="15" t="s">
        <v>101</v>
      </c>
      <c r="C7" s="30">
        <f t="shared" ref="C7:P7" si="2">MAX(C2:C5)</f>
        <v>1459.337</v>
      </c>
      <c r="D7" s="16">
        <f t="shared" si="2"/>
        <v>818</v>
      </c>
      <c r="E7" s="16">
        <f t="shared" si="2"/>
        <v>478</v>
      </c>
      <c r="F7" s="30">
        <f t="shared" si="2"/>
        <v>8.2799999999999994</v>
      </c>
      <c r="G7" s="31">
        <f t="shared" si="2"/>
        <v>1.7399999999999999E-2</v>
      </c>
      <c r="H7" s="31">
        <f t="shared" si="2"/>
        <v>12.4</v>
      </c>
      <c r="I7" s="30">
        <f t="shared" si="2"/>
        <v>207</v>
      </c>
      <c r="J7" s="64">
        <f t="shared" si="2"/>
        <v>3.3999999999999998E-3</v>
      </c>
      <c r="K7" s="31">
        <f t="shared" si="2"/>
        <v>2.5000000000000001E-3</v>
      </c>
      <c r="L7" s="31">
        <f t="shared" si="2"/>
        <v>5.8999999999999999E-3</v>
      </c>
      <c r="M7" s="30">
        <f t="shared" si="2"/>
        <v>0.25</v>
      </c>
      <c r="N7" s="30">
        <f t="shared" si="2"/>
        <v>2.3E-3</v>
      </c>
      <c r="O7" s="38">
        <f t="shared" si="2"/>
        <v>2.1299999999999999E-3</v>
      </c>
      <c r="P7" s="31">
        <f t="shared" si="2"/>
        <v>5.0000000000000001E-3</v>
      </c>
    </row>
    <row r="8" spans="1:16">
      <c r="A8" s="14"/>
      <c r="B8" s="15" t="s">
        <v>102</v>
      </c>
      <c r="C8" s="30">
        <f t="shared" ref="C8:P8" si="3">AVERAGE(C2:C5)</f>
        <v>1459.2370000000001</v>
      </c>
      <c r="D8" s="16">
        <f t="shared" si="3"/>
        <v>803</v>
      </c>
      <c r="E8" s="16">
        <f t="shared" si="3"/>
        <v>464.66666666666669</v>
      </c>
      <c r="F8" s="30">
        <f t="shared" si="3"/>
        <v>8.0666666666666664</v>
      </c>
      <c r="G8" s="31">
        <f t="shared" si="3"/>
        <v>1.38E-2</v>
      </c>
      <c r="H8" s="31">
        <f t="shared" si="3"/>
        <v>12.066666666666665</v>
      </c>
      <c r="I8" s="30">
        <f t="shared" si="3"/>
        <v>202</v>
      </c>
      <c r="J8" s="64">
        <f t="shared" si="3"/>
        <v>1.1333333333333332E-3</v>
      </c>
      <c r="K8" s="31">
        <f t="shared" si="3"/>
        <v>2.5000000000000001E-3</v>
      </c>
      <c r="L8" s="31">
        <f t="shared" si="3"/>
        <v>3.6333333333333335E-3</v>
      </c>
      <c r="M8" s="30">
        <f t="shared" si="3"/>
        <v>0.25</v>
      </c>
      <c r="N8" s="30">
        <f t="shared" si="3"/>
        <v>1.7633333333333331E-3</v>
      </c>
      <c r="O8" s="38">
        <f t="shared" si="3"/>
        <v>1.66E-3</v>
      </c>
      <c r="P8" s="31">
        <f t="shared" si="3"/>
        <v>5.0000000000000001E-3</v>
      </c>
    </row>
    <row r="9" spans="1:16">
      <c r="A9" s="14"/>
      <c r="B9" s="15" t="s">
        <v>103</v>
      </c>
      <c r="C9" s="30">
        <f t="shared" ref="C9:P9" si="4">_xlfn.STDEV.P(C2:C5)</f>
        <v>0.10000000000002274</v>
      </c>
      <c r="D9" s="16">
        <f t="shared" si="4"/>
        <v>11.86029791643813</v>
      </c>
      <c r="E9" s="16">
        <f t="shared" si="4"/>
        <v>16.779617264870957</v>
      </c>
      <c r="F9" s="30">
        <f t="shared" si="4"/>
        <v>0.16438437341250584</v>
      </c>
      <c r="G9" s="31">
        <f t="shared" si="4"/>
        <v>4.0767634221278992E-3</v>
      </c>
      <c r="H9" s="31">
        <f t="shared" si="4"/>
        <v>0.28674417556808796</v>
      </c>
      <c r="I9" s="30">
        <f t="shared" si="4"/>
        <v>4.0824829046386304</v>
      </c>
      <c r="J9" s="64">
        <f t="shared" si="4"/>
        <v>1.6027753706895078E-3</v>
      </c>
      <c r="K9" s="31">
        <f t="shared" si="4"/>
        <v>0</v>
      </c>
      <c r="L9" s="31">
        <f t="shared" si="4"/>
        <v>1.6027753706895076E-3</v>
      </c>
      <c r="M9" s="30">
        <f t="shared" si="4"/>
        <v>0</v>
      </c>
      <c r="N9" s="30">
        <f t="shared" si="4"/>
        <v>4.3284587967954086E-4</v>
      </c>
      <c r="O9" s="38">
        <f t="shared" si="4"/>
        <v>3.6175498153676706E-4</v>
      </c>
      <c r="P9" s="31">
        <f t="shared" si="4"/>
        <v>0</v>
      </c>
    </row>
    <row r="10" spans="1:16" ht="12.75" customHeight="1">
      <c r="A10" s="17"/>
      <c r="B10" s="131" t="s">
        <v>112</v>
      </c>
      <c r="C10" s="130"/>
      <c r="D10" s="130"/>
      <c r="E10" s="130"/>
      <c r="F10" s="130"/>
      <c r="G10" s="130"/>
      <c r="H10" s="130"/>
      <c r="I10" s="130"/>
      <c r="J10" s="130"/>
      <c r="K10" s="130"/>
      <c r="L10" s="130"/>
      <c r="M10" s="130"/>
      <c r="N10" s="130"/>
      <c r="O10" s="130"/>
      <c r="P10" s="130"/>
    </row>
    <row r="11" spans="1:16" ht="12.75" customHeight="1">
      <c r="A11" s="17"/>
      <c r="B11" s="130" t="s">
        <v>117</v>
      </c>
      <c r="C11" s="130"/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</row>
    <row r="12" spans="1:16" ht="12.75" customHeight="1">
      <c r="A12" s="17"/>
      <c r="B12" s="130" t="s">
        <v>114</v>
      </c>
      <c r="C12" s="130"/>
      <c r="D12" s="130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</row>
    <row r="13" spans="1:16" ht="12.75" customHeight="1">
      <c r="A13" s="17"/>
      <c r="B13" s="130" t="s">
        <v>108</v>
      </c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</row>
    <row r="14" spans="1:16" ht="12.75" customHeight="1">
      <c r="A14" s="18"/>
      <c r="B14" s="130" t="s">
        <v>115</v>
      </c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</row>
    <row r="15" spans="1:16" ht="12.75" customHeight="1"/>
  </sheetData>
  <mergeCells count="6">
    <mergeCell ref="B14:P14"/>
    <mergeCell ref="C2:P2"/>
    <mergeCell ref="B10:P10"/>
    <mergeCell ref="B11:P11"/>
    <mergeCell ref="B12:P12"/>
    <mergeCell ref="B13:P13"/>
  </mergeCells>
  <printOptions horizontalCentered="1"/>
  <pageMargins left="0.25" right="0.25" top="1.0833333333333299" bottom="0.75" header="0.3" footer="0.3"/>
  <pageSetup orientation="landscape" r:id="rId1"/>
  <headerFooter alignWithMargins="0">
    <oddHeader>&amp;LBarrick Gold Inc. - Nickel Plate Mine&amp;C&amp;"-,Regular"&amp;18
Table 29 - P43 Data&amp;RAnnual Report, 2017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16"/>
  <sheetViews>
    <sheetView zoomScaleNormal="100" workbookViewId="0">
      <selection activeCell="B33" sqref="B33"/>
    </sheetView>
  </sheetViews>
  <sheetFormatPr defaultColWidth="9.1328125" defaultRowHeight="15.75"/>
  <cols>
    <col min="1" max="1" width="4.3984375" style="19" customWidth="1"/>
    <col min="2" max="2" width="11" style="23" customWidth="1"/>
    <col min="3" max="3" width="9.73046875" style="19" bestFit="1" customWidth="1"/>
    <col min="4" max="5" width="6.86328125" style="89" customWidth="1"/>
    <col min="6" max="6" width="5.73046875" style="19" customWidth="1"/>
    <col min="7" max="8" width="9.1328125" style="19" customWidth="1"/>
    <col min="9" max="9" width="9.73046875" style="19" customWidth="1"/>
    <col min="10" max="10" width="7.265625" style="74" customWidth="1"/>
    <col min="11" max="12" width="8.1328125" style="19" customWidth="1"/>
    <col min="13" max="13" width="9.73046875" style="19" customWidth="1"/>
    <col min="14" max="14" width="5.73046875" style="87" customWidth="1"/>
    <col min="15" max="15" width="9.265625" style="19" customWidth="1"/>
    <col min="16" max="16" width="8" style="19" customWidth="1"/>
    <col min="17" max="16384" width="9.1328125" style="19"/>
  </cols>
  <sheetData>
    <row r="1" spans="1:16" ht="132">
      <c r="A1" s="1" t="s">
        <v>45</v>
      </c>
      <c r="B1" s="2" t="s">
        <v>46</v>
      </c>
      <c r="C1" s="4" t="s">
        <v>49</v>
      </c>
      <c r="D1" s="71" t="s">
        <v>51</v>
      </c>
      <c r="E1" s="71" t="s">
        <v>0</v>
      </c>
      <c r="F1" s="4" t="s">
        <v>52</v>
      </c>
      <c r="G1" s="5" t="s">
        <v>56</v>
      </c>
      <c r="H1" s="7" t="s">
        <v>57</v>
      </c>
      <c r="I1" s="5" t="s">
        <v>59</v>
      </c>
      <c r="J1" s="73" t="s">
        <v>105</v>
      </c>
      <c r="K1" s="7" t="s">
        <v>60</v>
      </c>
      <c r="L1" s="7" t="s">
        <v>61</v>
      </c>
      <c r="M1" s="4" t="s">
        <v>62</v>
      </c>
      <c r="N1" s="4" t="s">
        <v>85</v>
      </c>
      <c r="O1" s="10" t="s">
        <v>86</v>
      </c>
      <c r="P1" s="7" t="s">
        <v>87</v>
      </c>
    </row>
    <row r="2" spans="1:16">
      <c r="A2" s="20" t="s">
        <v>38</v>
      </c>
      <c r="B2" s="21">
        <v>42774.5</v>
      </c>
      <c r="C2" s="119">
        <v>1462.153</v>
      </c>
      <c r="D2" s="88">
        <v>1150</v>
      </c>
      <c r="E2" s="88">
        <v>717</v>
      </c>
      <c r="F2" s="22">
        <v>7.56</v>
      </c>
      <c r="G2" s="22">
        <v>7.0800000000000002E-2</v>
      </c>
      <c r="H2" s="22">
        <v>0.96099999999999997</v>
      </c>
      <c r="I2" s="22">
        <v>301</v>
      </c>
      <c r="J2" s="72">
        <f t="shared" ref="J2:J6" si="0">L2-K2</f>
        <v>0</v>
      </c>
      <c r="K2" s="24">
        <f>0.5* 0.005</f>
        <v>2.5000000000000001E-3</v>
      </c>
      <c r="L2" s="24">
        <f>0.5* 0.005</f>
        <v>2.5000000000000001E-3</v>
      </c>
      <c r="M2" s="22">
        <v>0.51</v>
      </c>
      <c r="N2" s="86">
        <v>2.1099999999999999E-3</v>
      </c>
      <c r="O2" s="22">
        <v>2.2000000000000001E-3</v>
      </c>
      <c r="P2" s="22">
        <v>1.1999999999999999E-3</v>
      </c>
    </row>
    <row r="3" spans="1:16">
      <c r="A3" s="20" t="s">
        <v>38</v>
      </c>
      <c r="B3" s="21">
        <v>42872.5</v>
      </c>
      <c r="C3" s="119" t="s">
        <v>96</v>
      </c>
      <c r="D3" s="88">
        <v>1140</v>
      </c>
      <c r="E3" s="88">
        <v>601</v>
      </c>
      <c r="F3" s="22">
        <v>7.43</v>
      </c>
      <c r="G3" s="22">
        <v>2.5899999999999999E-2</v>
      </c>
      <c r="H3" s="22">
        <v>0.67900000000000005</v>
      </c>
      <c r="I3" s="22">
        <v>259</v>
      </c>
      <c r="J3" s="72">
        <f t="shared" si="0"/>
        <v>8.7999999999999988E-3</v>
      </c>
      <c r="K3" s="24">
        <f>0.5* 0.005</f>
        <v>2.5000000000000001E-3</v>
      </c>
      <c r="L3" s="22">
        <v>1.1299999999999999E-2</v>
      </c>
      <c r="M3" s="22">
        <v>1.9</v>
      </c>
      <c r="N3" s="86">
        <v>5.0200000000000002E-3</v>
      </c>
      <c r="O3" s="22">
        <v>1.82E-3</v>
      </c>
      <c r="P3" s="24">
        <f>0.5* 0.01</f>
        <v>5.0000000000000001E-3</v>
      </c>
    </row>
    <row r="4" spans="1:16">
      <c r="A4" s="20" t="s">
        <v>38</v>
      </c>
      <c r="B4" s="21">
        <v>42942.5</v>
      </c>
      <c r="C4" s="119">
        <v>1463.2929999999999</v>
      </c>
      <c r="D4" s="88">
        <v>1150</v>
      </c>
      <c r="E4" s="88">
        <v>707</v>
      </c>
      <c r="F4" s="22">
        <v>7.55</v>
      </c>
      <c r="G4" s="22">
        <v>8.6E-3</v>
      </c>
      <c r="H4" s="22">
        <v>0.995</v>
      </c>
      <c r="I4" s="22">
        <v>298</v>
      </c>
      <c r="J4" s="72">
        <f t="shared" si="0"/>
        <v>4.5000000000000005E-3</v>
      </c>
      <c r="K4" s="24">
        <f>0.5* 0.005</f>
        <v>2.5000000000000001E-3</v>
      </c>
      <c r="L4" s="22">
        <v>7.0000000000000001E-3</v>
      </c>
      <c r="M4" s="22">
        <v>1.26</v>
      </c>
      <c r="N4" s="86">
        <v>2.14E-3</v>
      </c>
      <c r="O4" s="22">
        <v>1.9599999999999999E-3</v>
      </c>
      <c r="P4" s="24">
        <f>0.5* 0.01</f>
        <v>5.0000000000000001E-3</v>
      </c>
    </row>
    <row r="5" spans="1:16">
      <c r="A5" s="20"/>
      <c r="B5" s="113">
        <v>43007</v>
      </c>
      <c r="C5" s="119">
        <v>1463.2929999999999</v>
      </c>
      <c r="D5" s="119" t="s">
        <v>96</v>
      </c>
      <c r="E5" s="119" t="s">
        <v>96</v>
      </c>
      <c r="F5" s="119" t="s">
        <v>96</v>
      </c>
      <c r="G5" s="119" t="s">
        <v>96</v>
      </c>
      <c r="H5" s="119" t="s">
        <v>96</v>
      </c>
      <c r="I5" s="119" t="s">
        <v>96</v>
      </c>
      <c r="J5" s="119" t="s">
        <v>96</v>
      </c>
      <c r="K5" s="119" t="s">
        <v>96</v>
      </c>
      <c r="L5" s="119" t="s">
        <v>96</v>
      </c>
      <c r="M5" s="119" t="s">
        <v>96</v>
      </c>
      <c r="N5" s="119" t="s">
        <v>96</v>
      </c>
      <c r="O5" s="119" t="s">
        <v>96</v>
      </c>
      <c r="P5" s="119" t="s">
        <v>96</v>
      </c>
    </row>
    <row r="6" spans="1:16">
      <c r="A6" s="20" t="s">
        <v>38</v>
      </c>
      <c r="B6" s="21">
        <v>43033</v>
      </c>
      <c r="C6" s="126">
        <v>1462.153</v>
      </c>
      <c r="D6" s="88">
        <v>1160</v>
      </c>
      <c r="E6" s="88">
        <v>748</v>
      </c>
      <c r="F6" s="22">
        <v>7.61</v>
      </c>
      <c r="G6" s="24">
        <f>0.5* 0.005</f>
        <v>2.5000000000000001E-3</v>
      </c>
      <c r="H6" s="22">
        <v>1.29</v>
      </c>
      <c r="I6" s="22">
        <v>306</v>
      </c>
      <c r="J6" s="72">
        <f t="shared" si="0"/>
        <v>0</v>
      </c>
      <c r="K6" s="24">
        <f>0.5* 0.005</f>
        <v>2.5000000000000001E-3</v>
      </c>
      <c r="L6" s="24">
        <f>0.5* 0.005</f>
        <v>2.5000000000000001E-3</v>
      </c>
      <c r="M6" s="22">
        <v>0.54</v>
      </c>
      <c r="N6" s="86">
        <v>1.2999999999999999E-4</v>
      </c>
      <c r="O6" s="22">
        <v>1.33E-3</v>
      </c>
      <c r="P6" s="24">
        <f>0.5* 0.01</f>
        <v>5.0000000000000001E-3</v>
      </c>
    </row>
    <row r="7" spans="1:16">
      <c r="A7" s="14"/>
      <c r="B7" s="15" t="s">
        <v>100</v>
      </c>
      <c r="C7" s="30">
        <f>MIN(C2:C6)</f>
        <v>1462.153</v>
      </c>
      <c r="D7" s="16">
        <f t="shared" ref="D7:P7" si="1">MIN(D2:D6)</f>
        <v>1140</v>
      </c>
      <c r="E7" s="16">
        <f t="shared" si="1"/>
        <v>601</v>
      </c>
      <c r="F7" s="30">
        <f t="shared" si="1"/>
        <v>7.43</v>
      </c>
      <c r="G7" s="31">
        <f t="shared" si="1"/>
        <v>2.5000000000000001E-3</v>
      </c>
      <c r="H7" s="31">
        <f t="shared" si="1"/>
        <v>0.67900000000000005</v>
      </c>
      <c r="I7" s="30">
        <f t="shared" si="1"/>
        <v>259</v>
      </c>
      <c r="J7" s="64">
        <f t="shared" si="1"/>
        <v>0</v>
      </c>
      <c r="K7" s="31">
        <f t="shared" si="1"/>
        <v>2.5000000000000001E-3</v>
      </c>
      <c r="L7" s="31">
        <f t="shared" si="1"/>
        <v>2.5000000000000001E-3</v>
      </c>
      <c r="M7" s="30">
        <f t="shared" si="1"/>
        <v>0.51</v>
      </c>
      <c r="N7" s="30">
        <f t="shared" si="1"/>
        <v>1.2999999999999999E-4</v>
      </c>
      <c r="O7" s="38">
        <f t="shared" si="1"/>
        <v>1.33E-3</v>
      </c>
      <c r="P7" s="31">
        <f t="shared" si="1"/>
        <v>1.1999999999999999E-3</v>
      </c>
    </row>
    <row r="8" spans="1:16">
      <c r="A8" s="14"/>
      <c r="B8" s="15" t="s">
        <v>101</v>
      </c>
      <c r="C8" s="30">
        <f>MAX(C2:C6)</f>
        <v>1463.2929999999999</v>
      </c>
      <c r="D8" s="16">
        <f t="shared" ref="D8:P8" si="2">MAX(D2:D6)</f>
        <v>1160</v>
      </c>
      <c r="E8" s="16">
        <f t="shared" si="2"/>
        <v>748</v>
      </c>
      <c r="F8" s="30">
        <f t="shared" si="2"/>
        <v>7.61</v>
      </c>
      <c r="G8" s="31">
        <f t="shared" si="2"/>
        <v>7.0800000000000002E-2</v>
      </c>
      <c r="H8" s="31">
        <f t="shared" si="2"/>
        <v>1.29</v>
      </c>
      <c r="I8" s="30">
        <f t="shared" si="2"/>
        <v>306</v>
      </c>
      <c r="J8" s="64">
        <f t="shared" si="2"/>
        <v>8.7999999999999988E-3</v>
      </c>
      <c r="K8" s="31">
        <f t="shared" si="2"/>
        <v>2.5000000000000001E-3</v>
      </c>
      <c r="L8" s="31">
        <f t="shared" si="2"/>
        <v>1.1299999999999999E-2</v>
      </c>
      <c r="M8" s="30">
        <f t="shared" si="2"/>
        <v>1.9</v>
      </c>
      <c r="N8" s="30">
        <f t="shared" si="2"/>
        <v>5.0200000000000002E-3</v>
      </c>
      <c r="O8" s="38">
        <f t="shared" si="2"/>
        <v>2.2000000000000001E-3</v>
      </c>
      <c r="P8" s="31">
        <f t="shared" si="2"/>
        <v>5.0000000000000001E-3</v>
      </c>
    </row>
    <row r="9" spans="1:16">
      <c r="A9" s="14"/>
      <c r="B9" s="15" t="s">
        <v>102</v>
      </c>
      <c r="C9" s="30">
        <f>AVERAGE(C2:C6)</f>
        <v>1462.723</v>
      </c>
      <c r="D9" s="16">
        <f t="shared" ref="D9:P9" si="3">AVERAGE(D2:D6)</f>
        <v>1150</v>
      </c>
      <c r="E9" s="16">
        <f t="shared" si="3"/>
        <v>693.25</v>
      </c>
      <c r="F9" s="30">
        <f t="shared" si="3"/>
        <v>7.5374999999999996</v>
      </c>
      <c r="G9" s="31">
        <f t="shared" si="3"/>
        <v>2.6950000000000002E-2</v>
      </c>
      <c r="H9" s="31">
        <f t="shared" si="3"/>
        <v>0.98125000000000007</v>
      </c>
      <c r="I9" s="30">
        <f t="shared" si="3"/>
        <v>291</v>
      </c>
      <c r="J9" s="64">
        <f t="shared" si="3"/>
        <v>3.3249999999999998E-3</v>
      </c>
      <c r="K9" s="31">
        <f t="shared" si="3"/>
        <v>2.5000000000000001E-3</v>
      </c>
      <c r="L9" s="31">
        <f t="shared" si="3"/>
        <v>5.8249999999999994E-3</v>
      </c>
      <c r="M9" s="30">
        <f t="shared" si="3"/>
        <v>1.0525</v>
      </c>
      <c r="N9" s="30">
        <f t="shared" si="3"/>
        <v>2.3500000000000001E-3</v>
      </c>
      <c r="O9" s="38">
        <f t="shared" si="3"/>
        <v>1.8275000000000001E-3</v>
      </c>
      <c r="P9" s="31">
        <f t="shared" si="3"/>
        <v>4.0499999999999998E-3</v>
      </c>
    </row>
    <row r="10" spans="1:16">
      <c r="A10" s="14"/>
      <c r="B10" s="15" t="s">
        <v>103</v>
      </c>
      <c r="C10" s="30">
        <f>_xlfn.STDEV.P(C2:C6)</f>
        <v>0.56999999999993634</v>
      </c>
      <c r="D10" s="16">
        <f t="shared" ref="D10:P10" si="4">_xlfn.STDEV.P(D2:D6)</f>
        <v>7.0710678118654755</v>
      </c>
      <c r="E10" s="16">
        <f t="shared" si="4"/>
        <v>55.364135503049262</v>
      </c>
      <c r="F10" s="30">
        <f t="shared" si="4"/>
        <v>6.6096520332011591E-2</v>
      </c>
      <c r="G10" s="31">
        <f t="shared" si="4"/>
        <v>2.6732237093067986E-2</v>
      </c>
      <c r="H10" s="31">
        <f t="shared" si="4"/>
        <v>0.21637972987320217</v>
      </c>
      <c r="I10" s="30">
        <f t="shared" si="4"/>
        <v>18.694919095839918</v>
      </c>
      <c r="J10" s="64">
        <f t="shared" si="4"/>
        <v>3.6560737136988905E-3</v>
      </c>
      <c r="K10" s="31">
        <f t="shared" si="4"/>
        <v>0</v>
      </c>
      <c r="L10" s="31">
        <f t="shared" si="4"/>
        <v>3.6560737136988909E-3</v>
      </c>
      <c r="M10" s="30">
        <f t="shared" si="4"/>
        <v>0.57408078699778831</v>
      </c>
      <c r="N10" s="30">
        <f t="shared" si="4"/>
        <v>1.7434878835254351E-3</v>
      </c>
      <c r="O10" s="38">
        <f t="shared" si="4"/>
        <v>3.1775580246472295E-4</v>
      </c>
      <c r="P10" s="31">
        <f t="shared" si="4"/>
        <v>1.6454482671904335E-3</v>
      </c>
    </row>
    <row r="11" spans="1:16" ht="12.75" customHeight="1">
      <c r="A11" s="17"/>
      <c r="B11" s="131" t="s">
        <v>112</v>
      </c>
      <c r="C11" s="130"/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</row>
    <row r="12" spans="1:16" ht="12.75" customHeight="1">
      <c r="A12" s="17"/>
      <c r="B12" s="130" t="s">
        <v>117</v>
      </c>
      <c r="C12" s="130"/>
      <c r="D12" s="130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</row>
    <row r="13" spans="1:16" ht="12.75" customHeight="1">
      <c r="A13" s="17"/>
      <c r="B13" s="130" t="s">
        <v>114</v>
      </c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</row>
    <row r="14" spans="1:16" ht="12.75" customHeight="1">
      <c r="A14" s="17"/>
      <c r="B14" s="130" t="s">
        <v>108</v>
      </c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</row>
    <row r="15" spans="1:16" ht="12.75" customHeight="1">
      <c r="A15" s="18"/>
      <c r="B15" s="130" t="s">
        <v>115</v>
      </c>
      <c r="C15" s="130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</row>
    <row r="16" spans="1:16" ht="12.75" customHeight="1"/>
  </sheetData>
  <mergeCells count="5">
    <mergeCell ref="B11:P11"/>
    <mergeCell ref="B12:P12"/>
    <mergeCell ref="B13:P13"/>
    <mergeCell ref="B14:P14"/>
    <mergeCell ref="B15:P15"/>
  </mergeCells>
  <printOptions horizontalCentered="1"/>
  <pageMargins left="0.25" right="0.25" top="1.0833333333333299" bottom="0.75" header="0.3" footer="0.3"/>
  <pageSetup orientation="landscape" r:id="rId1"/>
  <headerFooter alignWithMargins="0">
    <oddHeader>&amp;LBarrick Gold Inc. - Nickel Plate Mine&amp;C&amp;"-,Regular"&amp;18
Table 30 - P44 Data&amp;RAnnual Report, 2017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F23"/>
  <sheetViews>
    <sheetView zoomScaleNormal="100" workbookViewId="0">
      <pane xSplit="2" ySplit="1" topLeftCell="U10" activePane="bottomRight" state="frozen"/>
      <selection activeCell="B33" sqref="B33"/>
      <selection pane="topRight" activeCell="B33" sqref="B33"/>
      <selection pane="bottomLeft" activeCell="B33" sqref="B33"/>
      <selection pane="bottomRight" activeCell="B33" sqref="B33"/>
    </sheetView>
  </sheetViews>
  <sheetFormatPr defaultColWidth="9.1328125" defaultRowHeight="15.75"/>
  <cols>
    <col min="1" max="1" width="8.73046875" style="19" bestFit="1" customWidth="1"/>
    <col min="2" max="2" width="11" style="23" bestFit="1" customWidth="1"/>
    <col min="3" max="3" width="5.73046875" style="19" bestFit="1" customWidth="1"/>
    <col min="4" max="4" width="6.86328125" style="19" bestFit="1" customWidth="1"/>
    <col min="5" max="5" width="5.1328125" style="19" bestFit="1" customWidth="1"/>
    <col min="6" max="6" width="5.73046875" style="19" bestFit="1" customWidth="1"/>
    <col min="7" max="7" width="4.73046875" style="19" bestFit="1" customWidth="1"/>
    <col min="8" max="9" width="6.86328125" style="19" bestFit="1" customWidth="1"/>
    <col min="10" max="10" width="8.1328125" style="19" bestFit="1" customWidth="1"/>
    <col min="11" max="11" width="5.73046875" style="19" bestFit="1" customWidth="1"/>
    <col min="12" max="12" width="8.1328125" style="19" bestFit="1" customWidth="1"/>
    <col min="13" max="13" width="5.1328125" style="19" bestFit="1" customWidth="1"/>
    <col min="14" max="14" width="7.265625" style="74" bestFit="1" customWidth="1"/>
    <col min="15" max="15" width="8.1328125" style="19" bestFit="1" customWidth="1"/>
    <col min="16" max="16" width="8" style="19" bestFit="1" customWidth="1"/>
    <col min="17" max="17" width="5.86328125" style="19" bestFit="1" customWidth="1"/>
    <col min="18" max="18" width="9.1328125" style="19" bestFit="1" customWidth="1"/>
    <col min="19" max="19" width="9" style="19" bestFit="1" customWidth="1"/>
    <col min="20" max="20" width="11.59765625" style="19" bestFit="1" customWidth="1"/>
    <col min="21" max="21" width="9.265625" style="19" customWidth="1"/>
    <col min="22" max="22" width="10.3984375" style="19" customWidth="1"/>
    <col min="23" max="23" width="11.59765625" style="19" bestFit="1" customWidth="1"/>
    <col min="24" max="24" width="9" style="19" bestFit="1" customWidth="1"/>
    <col min="25" max="25" width="8" style="19" bestFit="1" customWidth="1"/>
    <col min="26" max="26" width="11.59765625" style="19" bestFit="1" customWidth="1"/>
    <col min="27" max="27" width="9.265625" style="19" bestFit="1" customWidth="1"/>
    <col min="28" max="28" width="9.1328125" style="19" bestFit="1" customWidth="1"/>
    <col min="29" max="29" width="8" style="19" bestFit="1" customWidth="1"/>
    <col min="30" max="30" width="9.1328125" style="19" bestFit="1" customWidth="1"/>
    <col min="31" max="31" width="8.1328125" style="19" bestFit="1" customWidth="1"/>
    <col min="32" max="32" width="9.265625" style="19" bestFit="1" customWidth="1"/>
    <col min="33" max="16384" width="9.1328125" style="19"/>
  </cols>
  <sheetData>
    <row r="1" spans="1:32" ht="132">
      <c r="A1" s="1" t="s">
        <v>45</v>
      </c>
      <c r="B1" s="2" t="s">
        <v>46</v>
      </c>
      <c r="C1" s="5" t="s">
        <v>50</v>
      </c>
      <c r="D1" s="5" t="s">
        <v>51</v>
      </c>
      <c r="E1" s="71" t="s">
        <v>0</v>
      </c>
      <c r="F1" s="4" t="s">
        <v>52</v>
      </c>
      <c r="G1" s="71" t="s">
        <v>53</v>
      </c>
      <c r="H1" s="71" t="s">
        <v>54</v>
      </c>
      <c r="I1" s="5" t="s">
        <v>55</v>
      </c>
      <c r="J1" s="5" t="s">
        <v>56</v>
      </c>
      <c r="K1" s="7" t="s">
        <v>57</v>
      </c>
      <c r="L1" s="7" t="s">
        <v>58</v>
      </c>
      <c r="M1" s="5" t="s">
        <v>59</v>
      </c>
      <c r="N1" s="73" t="s">
        <v>105</v>
      </c>
      <c r="O1" s="7" t="s">
        <v>60</v>
      </c>
      <c r="P1" s="7" t="s">
        <v>61</v>
      </c>
      <c r="Q1" s="4" t="s">
        <v>62</v>
      </c>
      <c r="R1" s="7" t="s">
        <v>64</v>
      </c>
      <c r="S1" s="8" t="s">
        <v>65</v>
      </c>
      <c r="T1" s="8" t="s">
        <v>67</v>
      </c>
      <c r="U1" s="10" t="s">
        <v>70</v>
      </c>
      <c r="V1" s="8" t="s">
        <v>72</v>
      </c>
      <c r="W1" s="11" t="s">
        <v>74</v>
      </c>
      <c r="X1" s="8" t="s">
        <v>75</v>
      </c>
      <c r="Y1" s="10" t="s">
        <v>77</v>
      </c>
      <c r="Z1" s="8" t="s">
        <v>78</v>
      </c>
      <c r="AA1" s="10" t="s">
        <v>80</v>
      </c>
      <c r="AB1" s="10" t="s">
        <v>82</v>
      </c>
      <c r="AC1" s="9" t="s">
        <v>85</v>
      </c>
      <c r="AD1" s="10" t="s">
        <v>86</v>
      </c>
      <c r="AE1" s="7" t="s">
        <v>87</v>
      </c>
      <c r="AF1" s="10" t="s">
        <v>95</v>
      </c>
    </row>
    <row r="2" spans="1:32">
      <c r="A2" s="20" t="s">
        <v>20</v>
      </c>
      <c r="B2" s="21">
        <v>42740.5</v>
      </c>
      <c r="C2" s="22">
        <v>1.7</v>
      </c>
      <c r="D2" s="22">
        <v>1180</v>
      </c>
      <c r="E2" s="22">
        <v>652</v>
      </c>
      <c r="F2" s="22">
        <v>8.15</v>
      </c>
      <c r="G2" s="25" t="s">
        <v>96</v>
      </c>
      <c r="H2" s="22">
        <v>968</v>
      </c>
      <c r="I2" s="22">
        <v>0.12</v>
      </c>
      <c r="J2" s="24">
        <f t="shared" ref="J2:J13" si="0">0.5* 0.005</f>
        <v>2.5000000000000001E-3</v>
      </c>
      <c r="K2" s="22">
        <v>3.26</v>
      </c>
      <c r="L2" s="25" t="s">
        <v>96</v>
      </c>
      <c r="M2" s="22">
        <v>492</v>
      </c>
      <c r="N2" s="28">
        <f>P2-O2</f>
        <v>1.3599999999999999E-2</v>
      </c>
      <c r="O2" s="24">
        <f t="shared" ref="O2:O13" si="1">0.5* 0.005</f>
        <v>2.5000000000000001E-3</v>
      </c>
      <c r="P2" s="22">
        <v>1.61E-2</v>
      </c>
      <c r="Q2" s="24">
        <f t="shared" ref="Q2:Q13" si="2">0.5* 0.5</f>
        <v>0.25</v>
      </c>
      <c r="R2" s="25" t="s">
        <v>96</v>
      </c>
      <c r="S2" s="25" t="s">
        <v>96</v>
      </c>
      <c r="T2" s="25" t="s">
        <v>96</v>
      </c>
      <c r="U2" s="25" t="s">
        <v>96</v>
      </c>
      <c r="V2" s="25" t="s">
        <v>96</v>
      </c>
      <c r="W2" s="25" t="s">
        <v>96</v>
      </c>
      <c r="X2" s="25" t="s">
        <v>96</v>
      </c>
      <c r="Y2" s="25" t="s">
        <v>96</v>
      </c>
      <c r="Z2" s="25" t="s">
        <v>96</v>
      </c>
      <c r="AA2" s="25" t="s">
        <v>96</v>
      </c>
      <c r="AB2" s="22">
        <v>7.6400000000000001E-3</v>
      </c>
      <c r="AC2" s="22">
        <v>4.1799999999999997E-2</v>
      </c>
      <c r="AD2" s="22">
        <v>2.9999999999999997E-4</v>
      </c>
      <c r="AE2" s="24">
        <f>0.5* 0.001</f>
        <v>5.0000000000000001E-4</v>
      </c>
      <c r="AF2" s="24">
        <f>0.5* 0.0005</f>
        <v>2.5000000000000001E-4</v>
      </c>
    </row>
    <row r="3" spans="1:32">
      <c r="A3" s="20" t="s">
        <v>20</v>
      </c>
      <c r="B3" s="21">
        <v>42774.5</v>
      </c>
      <c r="C3" s="22">
        <v>1.6</v>
      </c>
      <c r="D3" s="22">
        <v>1160</v>
      </c>
      <c r="E3" s="22">
        <v>677</v>
      </c>
      <c r="F3" s="22">
        <v>8.2200000000000006</v>
      </c>
      <c r="G3" s="24">
        <f>0.5* 3</f>
        <v>1.5</v>
      </c>
      <c r="H3" s="22">
        <v>945</v>
      </c>
      <c r="I3" s="22">
        <v>0.12</v>
      </c>
      <c r="J3" s="24">
        <f t="shared" si="0"/>
        <v>2.5000000000000001E-3</v>
      </c>
      <c r="K3" s="22">
        <v>3.21</v>
      </c>
      <c r="L3" s="24">
        <f>0.5* 0.005</f>
        <v>2.5000000000000001E-3</v>
      </c>
      <c r="M3" s="22">
        <v>487</v>
      </c>
      <c r="N3" s="28">
        <f t="shared" ref="N3:N13" si="3">P3-O3</f>
        <v>1.34E-2</v>
      </c>
      <c r="O3" s="24">
        <f t="shared" si="1"/>
        <v>2.5000000000000001E-3</v>
      </c>
      <c r="P3" s="22">
        <v>1.5900000000000001E-2</v>
      </c>
      <c r="Q3" s="24">
        <f t="shared" si="2"/>
        <v>0.25</v>
      </c>
      <c r="R3" s="22">
        <v>1.2800000000000001E-3</v>
      </c>
      <c r="S3" s="22">
        <v>7.9500000000000005E-3</v>
      </c>
      <c r="T3" s="24">
        <f>0.5* 0.000005</f>
        <v>2.5000000000000002E-6</v>
      </c>
      <c r="U3" s="22">
        <v>3.6999999999999999E-4</v>
      </c>
      <c r="V3" s="24">
        <f>0.5* 0.00001</f>
        <v>5.0000000000000004E-6</v>
      </c>
      <c r="W3" s="24">
        <f>0.5* 0.000005</f>
        <v>2.5000000000000002E-6</v>
      </c>
      <c r="X3" s="22">
        <v>5.3E-3</v>
      </c>
      <c r="Y3" s="22">
        <v>1.12E-2</v>
      </c>
      <c r="Z3" s="24">
        <f>0.5* 0.000005</f>
        <v>2.5000000000000002E-6</v>
      </c>
      <c r="AA3" s="24">
        <f>0.5* 0.0005</f>
        <v>2.5000000000000001E-4</v>
      </c>
      <c r="AB3" s="22">
        <v>7.6E-3</v>
      </c>
      <c r="AC3" s="22">
        <v>3.8899999999999997E-2</v>
      </c>
      <c r="AD3" s="22">
        <v>3.4000000000000002E-4</v>
      </c>
      <c r="AE3" s="24">
        <f>0.5* 0.001</f>
        <v>5.0000000000000001E-4</v>
      </c>
      <c r="AF3" s="24">
        <f>0.5* 0.0005</f>
        <v>2.5000000000000001E-4</v>
      </c>
    </row>
    <row r="4" spans="1:32">
      <c r="A4" s="20" t="s">
        <v>20</v>
      </c>
      <c r="B4" s="21">
        <v>42801.5</v>
      </c>
      <c r="C4" s="22">
        <v>2.1</v>
      </c>
      <c r="D4" s="22">
        <v>1140</v>
      </c>
      <c r="E4" s="22">
        <v>693</v>
      </c>
      <c r="F4" s="22">
        <v>8.1999999999999993</v>
      </c>
      <c r="G4" s="25" t="s">
        <v>96</v>
      </c>
      <c r="H4" s="22">
        <v>913</v>
      </c>
      <c r="I4" s="22">
        <v>0.13</v>
      </c>
      <c r="J4" s="24">
        <f t="shared" si="0"/>
        <v>2.5000000000000001E-3</v>
      </c>
      <c r="K4" s="22">
        <v>3.2</v>
      </c>
      <c r="L4" s="25" t="s">
        <v>96</v>
      </c>
      <c r="M4" s="22">
        <v>479</v>
      </c>
      <c r="N4" s="28">
        <f t="shared" si="3"/>
        <v>1.4299999999999998E-2</v>
      </c>
      <c r="O4" s="24">
        <f t="shared" si="1"/>
        <v>2.5000000000000001E-3</v>
      </c>
      <c r="P4" s="22">
        <v>1.6799999999999999E-2</v>
      </c>
      <c r="Q4" s="24">
        <f t="shared" si="2"/>
        <v>0.25</v>
      </c>
      <c r="R4" s="25" t="s">
        <v>96</v>
      </c>
      <c r="S4" s="25" t="s">
        <v>96</v>
      </c>
      <c r="T4" s="25" t="s">
        <v>96</v>
      </c>
      <c r="U4" s="25" t="s">
        <v>96</v>
      </c>
      <c r="V4" s="25" t="s">
        <v>96</v>
      </c>
      <c r="W4" s="25" t="s">
        <v>96</v>
      </c>
      <c r="X4" s="25" t="s">
        <v>96</v>
      </c>
      <c r="Y4" s="25" t="s">
        <v>96</v>
      </c>
      <c r="Z4" s="25" t="s">
        <v>96</v>
      </c>
      <c r="AA4" s="25" t="s">
        <v>96</v>
      </c>
      <c r="AB4" s="22">
        <v>7.2700000000000004E-3</v>
      </c>
      <c r="AC4" s="22">
        <v>4.7399999999999998E-2</v>
      </c>
      <c r="AD4" s="22">
        <v>3.2000000000000003E-4</v>
      </c>
      <c r="AE4" s="24">
        <f>0.5* 0.03</f>
        <v>1.4999999999999999E-2</v>
      </c>
      <c r="AF4" s="24">
        <f t="shared" ref="AF4:AF13" si="4">0.5* 0.001</f>
        <v>5.0000000000000001E-4</v>
      </c>
    </row>
    <row r="5" spans="1:32">
      <c r="A5" s="20" t="s">
        <v>20</v>
      </c>
      <c r="B5" s="21">
        <v>42844.5</v>
      </c>
      <c r="C5" s="22">
        <v>8.9</v>
      </c>
      <c r="D5" s="22">
        <v>1130</v>
      </c>
      <c r="E5" s="22">
        <v>689</v>
      </c>
      <c r="F5" s="22">
        <v>8.26</v>
      </c>
      <c r="G5" s="24">
        <f>0.5* 3</f>
        <v>1.5</v>
      </c>
      <c r="H5" s="22">
        <v>929</v>
      </c>
      <c r="I5" s="22">
        <v>0.14000000000000001</v>
      </c>
      <c r="J5" s="24">
        <f t="shared" si="0"/>
        <v>2.5000000000000001E-3</v>
      </c>
      <c r="K5" s="22">
        <v>3.09</v>
      </c>
      <c r="L5" s="24">
        <f>0.5* 0.005</f>
        <v>2.5000000000000001E-3</v>
      </c>
      <c r="M5" s="22">
        <v>470</v>
      </c>
      <c r="N5" s="28">
        <f t="shared" si="3"/>
        <v>1.4299999999999998E-2</v>
      </c>
      <c r="O5" s="24">
        <f t="shared" si="1"/>
        <v>2.5000000000000001E-3</v>
      </c>
      <c r="P5" s="22">
        <v>1.6799999999999999E-2</v>
      </c>
      <c r="Q5" s="24">
        <f t="shared" si="2"/>
        <v>0.25</v>
      </c>
      <c r="R5" s="24">
        <f>0.5* 0.003</f>
        <v>1.5E-3</v>
      </c>
      <c r="S5" s="22">
        <v>7.9699999999999997E-3</v>
      </c>
      <c r="T5" s="24">
        <f>0.5* 0.000005</f>
        <v>2.5000000000000002E-6</v>
      </c>
      <c r="U5" s="24">
        <f>0.5* 0.0005</f>
        <v>2.5000000000000001E-4</v>
      </c>
      <c r="V5" s="24">
        <f>0.5* 0.00005</f>
        <v>2.5000000000000001E-5</v>
      </c>
      <c r="W5" s="24">
        <f>0.5* 0.000005</f>
        <v>2.5000000000000002E-6</v>
      </c>
      <c r="X5" s="22">
        <v>6.1599999999999997E-3</v>
      </c>
      <c r="Y5" s="22">
        <v>1.09E-2</v>
      </c>
      <c r="Z5" s="24">
        <f>0.5* 0.00001</f>
        <v>5.0000000000000004E-6</v>
      </c>
      <c r="AA5" s="24">
        <f>0.5* 0.003</f>
        <v>1.5E-3</v>
      </c>
      <c r="AB5" s="22">
        <v>7.43E-3</v>
      </c>
      <c r="AC5" s="22">
        <v>4.4299999999999999E-2</v>
      </c>
      <c r="AD5" s="22">
        <v>3.3E-4</v>
      </c>
      <c r="AE5" s="24">
        <f t="shared" ref="AE5:AE13" si="5">0.5* 0.01</f>
        <v>5.0000000000000001E-3</v>
      </c>
      <c r="AF5" s="24">
        <f t="shared" si="4"/>
        <v>5.0000000000000001E-4</v>
      </c>
    </row>
    <row r="6" spans="1:32">
      <c r="A6" s="20" t="s">
        <v>20</v>
      </c>
      <c r="B6" s="21">
        <v>42872.5</v>
      </c>
      <c r="C6" s="22">
        <v>7.3</v>
      </c>
      <c r="D6" s="22">
        <v>1380</v>
      </c>
      <c r="E6" s="22">
        <v>851</v>
      </c>
      <c r="F6" s="22">
        <v>8.2200000000000006</v>
      </c>
      <c r="G6" s="25" t="s">
        <v>96</v>
      </c>
      <c r="H6" s="22">
        <v>1110</v>
      </c>
      <c r="I6" s="22">
        <v>24.7</v>
      </c>
      <c r="J6" s="24">
        <f t="shared" si="0"/>
        <v>2.5000000000000001E-3</v>
      </c>
      <c r="K6" s="22">
        <v>2.27</v>
      </c>
      <c r="L6" s="25" t="s">
        <v>96</v>
      </c>
      <c r="M6" s="22">
        <v>617</v>
      </c>
      <c r="N6" s="28">
        <f t="shared" si="3"/>
        <v>3.2000000000000002E-3</v>
      </c>
      <c r="O6" s="24">
        <f t="shared" si="1"/>
        <v>2.5000000000000001E-3</v>
      </c>
      <c r="P6" s="22">
        <v>5.7000000000000002E-3</v>
      </c>
      <c r="Q6" s="24">
        <f t="shared" si="2"/>
        <v>0.25</v>
      </c>
      <c r="R6" s="25" t="s">
        <v>96</v>
      </c>
      <c r="S6" s="25" t="s">
        <v>96</v>
      </c>
      <c r="T6" s="25" t="s">
        <v>96</v>
      </c>
      <c r="U6" s="25" t="s">
        <v>96</v>
      </c>
      <c r="V6" s="25" t="s">
        <v>96</v>
      </c>
      <c r="W6" s="25" t="s">
        <v>96</v>
      </c>
      <c r="X6" s="25" t="s">
        <v>96</v>
      </c>
      <c r="Y6" s="25" t="s">
        <v>96</v>
      </c>
      <c r="Z6" s="25" t="s">
        <v>96</v>
      </c>
      <c r="AA6" s="25" t="s">
        <v>96</v>
      </c>
      <c r="AB6" s="22">
        <v>1.54E-2</v>
      </c>
      <c r="AC6" s="22">
        <v>1.8800000000000001E-2</v>
      </c>
      <c r="AD6" s="22">
        <v>1.0200000000000001E-3</v>
      </c>
      <c r="AE6" s="24">
        <f t="shared" si="5"/>
        <v>5.0000000000000001E-3</v>
      </c>
      <c r="AF6" s="24">
        <f t="shared" si="4"/>
        <v>5.0000000000000001E-4</v>
      </c>
    </row>
    <row r="7" spans="1:32">
      <c r="A7" s="20" t="s">
        <v>20</v>
      </c>
      <c r="B7" s="21">
        <v>42900.5</v>
      </c>
      <c r="C7" s="22">
        <v>8.5</v>
      </c>
      <c r="D7" s="22">
        <v>1160</v>
      </c>
      <c r="E7" s="22">
        <v>696</v>
      </c>
      <c r="F7" s="22">
        <v>8.19</v>
      </c>
      <c r="G7" s="25" t="s">
        <v>96</v>
      </c>
      <c r="H7" s="22">
        <v>977</v>
      </c>
      <c r="I7" s="22">
        <v>0.55000000000000004</v>
      </c>
      <c r="J7" s="24">
        <f t="shared" si="0"/>
        <v>2.5000000000000001E-3</v>
      </c>
      <c r="K7" s="22">
        <v>2.97</v>
      </c>
      <c r="L7" s="25" t="s">
        <v>96</v>
      </c>
      <c r="M7" s="22">
        <v>521</v>
      </c>
      <c r="N7" s="28">
        <f t="shared" si="3"/>
        <v>1.21E-2</v>
      </c>
      <c r="O7" s="24">
        <f t="shared" si="1"/>
        <v>2.5000000000000001E-3</v>
      </c>
      <c r="P7" s="22">
        <v>1.46E-2</v>
      </c>
      <c r="Q7" s="24">
        <f t="shared" si="2"/>
        <v>0.25</v>
      </c>
      <c r="R7" s="25" t="s">
        <v>96</v>
      </c>
      <c r="S7" s="25" t="s">
        <v>96</v>
      </c>
      <c r="T7" s="25" t="s">
        <v>96</v>
      </c>
      <c r="U7" s="25" t="s">
        <v>96</v>
      </c>
      <c r="V7" s="25" t="s">
        <v>96</v>
      </c>
      <c r="W7" s="25" t="s">
        <v>96</v>
      </c>
      <c r="X7" s="25" t="s">
        <v>96</v>
      </c>
      <c r="Y7" s="25" t="s">
        <v>96</v>
      </c>
      <c r="Z7" s="25" t="s">
        <v>96</v>
      </c>
      <c r="AA7" s="25" t="s">
        <v>96</v>
      </c>
      <c r="AB7" s="22">
        <v>7.2300000000000003E-3</v>
      </c>
      <c r="AC7" s="22">
        <v>3.9300000000000002E-2</v>
      </c>
      <c r="AD7" s="22">
        <v>5.1000000000000004E-4</v>
      </c>
      <c r="AE7" s="24">
        <f t="shared" si="5"/>
        <v>5.0000000000000001E-3</v>
      </c>
      <c r="AF7" s="24">
        <f t="shared" si="4"/>
        <v>5.0000000000000001E-4</v>
      </c>
    </row>
    <row r="8" spans="1:32">
      <c r="A8" s="20" t="s">
        <v>20</v>
      </c>
      <c r="B8" s="21">
        <v>42935.5</v>
      </c>
      <c r="C8" s="22">
        <v>12.1</v>
      </c>
      <c r="D8" s="22">
        <v>1160</v>
      </c>
      <c r="E8" s="22">
        <v>675</v>
      </c>
      <c r="F8" s="22">
        <v>8.2200000000000006</v>
      </c>
      <c r="G8" s="24">
        <f>0.5* 3</f>
        <v>1.5</v>
      </c>
      <c r="H8" s="22">
        <v>928</v>
      </c>
      <c r="I8" s="22">
        <v>0.33</v>
      </c>
      <c r="J8" s="24">
        <f t="shared" si="0"/>
        <v>2.5000000000000001E-3</v>
      </c>
      <c r="K8" s="22">
        <v>3.04</v>
      </c>
      <c r="L8" s="24">
        <f>0.5* 0.005</f>
        <v>2.5000000000000001E-3</v>
      </c>
      <c r="M8" s="22">
        <v>479</v>
      </c>
      <c r="N8" s="28">
        <f t="shared" si="3"/>
        <v>1.2799999999999999E-2</v>
      </c>
      <c r="O8" s="24">
        <f t="shared" si="1"/>
        <v>2.5000000000000001E-3</v>
      </c>
      <c r="P8" s="22">
        <v>1.5299999999999999E-2</v>
      </c>
      <c r="Q8" s="24">
        <f t="shared" si="2"/>
        <v>0.25</v>
      </c>
      <c r="R8" s="22">
        <v>1.2800000000000001E-2</v>
      </c>
      <c r="S8" s="22">
        <v>7.8300000000000002E-3</v>
      </c>
      <c r="T8" s="24">
        <f>0.5* 0.000005</f>
        <v>2.5000000000000002E-6</v>
      </c>
      <c r="U8" s="22">
        <v>5.5000000000000003E-4</v>
      </c>
      <c r="V8" s="24">
        <f>0.5* 0.00005</f>
        <v>2.5000000000000001E-5</v>
      </c>
      <c r="W8" s="24">
        <f>0.5* 0.000005</f>
        <v>2.5000000000000002E-6</v>
      </c>
      <c r="X8" s="22">
        <v>5.9899999999999997E-3</v>
      </c>
      <c r="Y8" s="22">
        <v>1.04E-2</v>
      </c>
      <c r="Z8" s="24">
        <f>0.5* 0.00001</f>
        <v>5.0000000000000004E-6</v>
      </c>
      <c r="AA8" s="24">
        <f>0.5* 0.003</f>
        <v>1.5E-3</v>
      </c>
      <c r="AB8" s="22">
        <v>8.0700000000000008E-3</v>
      </c>
      <c r="AC8" s="22">
        <v>4.0099999999999997E-2</v>
      </c>
      <c r="AD8" s="22">
        <v>3.2000000000000003E-4</v>
      </c>
      <c r="AE8" s="24">
        <f t="shared" si="5"/>
        <v>5.0000000000000001E-3</v>
      </c>
      <c r="AF8" s="24">
        <f t="shared" si="4"/>
        <v>5.0000000000000001E-4</v>
      </c>
    </row>
    <row r="9" spans="1:32">
      <c r="A9" s="20" t="s">
        <v>20</v>
      </c>
      <c r="B9" s="21">
        <v>42963.5</v>
      </c>
      <c r="C9" s="22">
        <v>10.199999999999999</v>
      </c>
      <c r="D9" s="22">
        <v>1160</v>
      </c>
      <c r="E9" s="22">
        <v>670</v>
      </c>
      <c r="F9" s="22">
        <v>8.19</v>
      </c>
      <c r="G9" s="25" t="s">
        <v>96</v>
      </c>
      <c r="H9" s="22">
        <v>993</v>
      </c>
      <c r="I9" s="22">
        <v>0.31</v>
      </c>
      <c r="J9" s="24">
        <f t="shared" si="0"/>
        <v>2.5000000000000001E-3</v>
      </c>
      <c r="K9" s="22">
        <v>3.03</v>
      </c>
      <c r="L9" s="25" t="s">
        <v>96</v>
      </c>
      <c r="M9" s="22">
        <v>495</v>
      </c>
      <c r="N9" s="28">
        <f t="shared" si="3"/>
        <v>1.5700000000000002E-2</v>
      </c>
      <c r="O9" s="24">
        <f t="shared" si="1"/>
        <v>2.5000000000000001E-3</v>
      </c>
      <c r="P9" s="22">
        <v>1.8200000000000001E-2</v>
      </c>
      <c r="Q9" s="24">
        <f t="shared" si="2"/>
        <v>0.25</v>
      </c>
      <c r="R9" s="25" t="s">
        <v>96</v>
      </c>
      <c r="S9" s="25" t="s">
        <v>96</v>
      </c>
      <c r="T9" s="25" t="s">
        <v>96</v>
      </c>
      <c r="U9" s="25" t="s">
        <v>96</v>
      </c>
      <c r="V9" s="25" t="s">
        <v>96</v>
      </c>
      <c r="W9" s="25" t="s">
        <v>96</v>
      </c>
      <c r="X9" s="25" t="s">
        <v>96</v>
      </c>
      <c r="Y9" s="25" t="s">
        <v>96</v>
      </c>
      <c r="Z9" s="25" t="s">
        <v>96</v>
      </c>
      <c r="AA9" s="25" t="s">
        <v>96</v>
      </c>
      <c r="AB9" s="22">
        <v>7.9399999999999991E-3</v>
      </c>
      <c r="AC9" s="22">
        <v>4.82E-2</v>
      </c>
      <c r="AD9" s="22">
        <v>2.9E-4</v>
      </c>
      <c r="AE9" s="24">
        <f t="shared" si="5"/>
        <v>5.0000000000000001E-3</v>
      </c>
      <c r="AF9" s="24">
        <f t="shared" si="4"/>
        <v>5.0000000000000001E-4</v>
      </c>
    </row>
    <row r="10" spans="1:32">
      <c r="A10" s="20" t="s">
        <v>20</v>
      </c>
      <c r="B10" s="21">
        <v>42991.5</v>
      </c>
      <c r="C10" s="22">
        <v>10.199999999999999</v>
      </c>
      <c r="D10" s="22">
        <v>1180</v>
      </c>
      <c r="E10" s="25" t="s">
        <v>96</v>
      </c>
      <c r="F10" s="22">
        <v>8.26</v>
      </c>
      <c r="G10" s="25" t="s">
        <v>96</v>
      </c>
      <c r="H10" s="22">
        <v>965</v>
      </c>
      <c r="I10" s="22">
        <v>0.28000000000000003</v>
      </c>
      <c r="J10" s="24">
        <f t="shared" si="0"/>
        <v>2.5000000000000001E-3</v>
      </c>
      <c r="K10" s="22">
        <v>3.05</v>
      </c>
      <c r="L10" s="25" t="s">
        <v>96</v>
      </c>
      <c r="M10" s="22">
        <v>506</v>
      </c>
      <c r="N10" s="28">
        <f t="shared" si="3"/>
        <v>1.3099999999999999E-2</v>
      </c>
      <c r="O10" s="24">
        <f t="shared" si="1"/>
        <v>2.5000000000000001E-3</v>
      </c>
      <c r="P10" s="22">
        <v>1.5599999999999999E-2</v>
      </c>
      <c r="Q10" s="24">
        <f t="shared" si="2"/>
        <v>0.25</v>
      </c>
      <c r="R10" s="25" t="s">
        <v>96</v>
      </c>
      <c r="S10" s="25" t="s">
        <v>96</v>
      </c>
      <c r="T10" s="25" t="s">
        <v>96</v>
      </c>
      <c r="U10" s="25" t="s">
        <v>96</v>
      </c>
      <c r="V10" s="25" t="s">
        <v>96</v>
      </c>
      <c r="W10" s="25" t="s">
        <v>96</v>
      </c>
      <c r="X10" s="25" t="s">
        <v>96</v>
      </c>
      <c r="Y10" s="25" t="s">
        <v>96</v>
      </c>
      <c r="Z10" s="25" t="s">
        <v>96</v>
      </c>
      <c r="AA10" s="25" t="s">
        <v>96</v>
      </c>
      <c r="AB10" s="22">
        <v>7.6099999999999996E-3</v>
      </c>
      <c r="AC10" s="22">
        <v>4.3099999999999999E-2</v>
      </c>
      <c r="AD10" s="22">
        <v>3.3E-4</v>
      </c>
      <c r="AE10" s="24">
        <f t="shared" si="5"/>
        <v>5.0000000000000001E-3</v>
      </c>
      <c r="AF10" s="24">
        <f t="shared" si="4"/>
        <v>5.0000000000000001E-4</v>
      </c>
    </row>
    <row r="11" spans="1:32">
      <c r="A11" s="20" t="s">
        <v>20</v>
      </c>
      <c r="B11" s="21">
        <v>43026</v>
      </c>
      <c r="C11" s="22">
        <v>7.3</v>
      </c>
      <c r="D11" s="22">
        <v>1160</v>
      </c>
      <c r="E11" s="22">
        <v>634</v>
      </c>
      <c r="F11" s="22">
        <v>8.27</v>
      </c>
      <c r="G11" s="22">
        <v>5.8</v>
      </c>
      <c r="H11" s="22">
        <v>966</v>
      </c>
      <c r="I11" s="22">
        <v>0.26</v>
      </c>
      <c r="J11" s="24">
        <f t="shared" si="0"/>
        <v>2.5000000000000001E-3</v>
      </c>
      <c r="K11" s="22">
        <v>2.93</v>
      </c>
      <c r="L11" s="24">
        <f>0.5* 0.005</f>
        <v>2.5000000000000001E-3</v>
      </c>
      <c r="M11" s="22">
        <v>488</v>
      </c>
      <c r="N11" s="28">
        <f t="shared" si="3"/>
        <v>1.6200000000000003E-2</v>
      </c>
      <c r="O11" s="24">
        <f t="shared" si="1"/>
        <v>2.5000000000000001E-3</v>
      </c>
      <c r="P11" s="22">
        <v>1.8700000000000001E-2</v>
      </c>
      <c r="Q11" s="24">
        <f t="shared" si="2"/>
        <v>0.25</v>
      </c>
      <c r="R11" s="22">
        <v>7.7000000000000002E-3</v>
      </c>
      <c r="S11" s="22">
        <v>7.4000000000000003E-3</v>
      </c>
      <c r="T11" s="24">
        <f>0.5* 0.000005</f>
        <v>2.5000000000000002E-6</v>
      </c>
      <c r="U11" s="24">
        <f>0.5* 0.0005</f>
        <v>2.5000000000000001E-4</v>
      </c>
      <c r="V11" s="24">
        <f>0.5* 0.00005</f>
        <v>2.5000000000000001E-5</v>
      </c>
      <c r="W11" s="24">
        <f>0.5* 0.000005</f>
        <v>2.5000000000000002E-6</v>
      </c>
      <c r="X11" s="22">
        <v>5.8599999999999998E-3</v>
      </c>
      <c r="Y11" s="22">
        <v>1.0699999999999999E-2</v>
      </c>
      <c r="Z11" s="24">
        <f>0.5* 0.00001</f>
        <v>5.0000000000000004E-6</v>
      </c>
      <c r="AA11" s="24">
        <f>0.5* 0.003</f>
        <v>1.5E-3</v>
      </c>
      <c r="AB11" s="22">
        <v>7.2500000000000004E-3</v>
      </c>
      <c r="AC11" s="22">
        <v>4.1000000000000002E-2</v>
      </c>
      <c r="AD11" s="22">
        <v>3.2000000000000003E-4</v>
      </c>
      <c r="AE11" s="24">
        <f t="shared" si="5"/>
        <v>5.0000000000000001E-3</v>
      </c>
      <c r="AF11" s="24">
        <f t="shared" si="4"/>
        <v>5.0000000000000001E-4</v>
      </c>
    </row>
    <row r="12" spans="1:32">
      <c r="A12" s="20" t="s">
        <v>20</v>
      </c>
      <c r="B12" s="21">
        <v>43054.5</v>
      </c>
      <c r="C12" s="22">
        <v>6.8</v>
      </c>
      <c r="D12" s="22">
        <v>1130</v>
      </c>
      <c r="E12" s="22">
        <v>725</v>
      </c>
      <c r="F12" s="22">
        <v>8.25</v>
      </c>
      <c r="G12" s="25" t="s">
        <v>96</v>
      </c>
      <c r="H12" s="22">
        <v>886</v>
      </c>
      <c r="I12" s="22">
        <v>0.14000000000000001</v>
      </c>
      <c r="J12" s="24">
        <f t="shared" si="0"/>
        <v>2.5000000000000001E-3</v>
      </c>
      <c r="K12" s="22">
        <v>3.12</v>
      </c>
      <c r="L12" s="25" t="s">
        <v>96</v>
      </c>
      <c r="M12" s="22">
        <v>505</v>
      </c>
      <c r="N12" s="28">
        <f t="shared" si="3"/>
        <v>1.09E-2</v>
      </c>
      <c r="O12" s="24">
        <f t="shared" si="1"/>
        <v>2.5000000000000001E-3</v>
      </c>
      <c r="P12" s="22">
        <v>1.34E-2</v>
      </c>
      <c r="Q12" s="24">
        <f t="shared" si="2"/>
        <v>0.25</v>
      </c>
      <c r="R12" s="24">
        <f>0.5* 0.003</f>
        <v>1.5E-3</v>
      </c>
      <c r="S12" s="22">
        <v>7.6299999999999996E-3</v>
      </c>
      <c r="T12" s="22">
        <v>5.0000000000000004E-6</v>
      </c>
      <c r="U12" s="24">
        <f>0.5* 0.0005</f>
        <v>2.5000000000000001E-4</v>
      </c>
      <c r="V12" s="24">
        <f>0.5* 0.00005</f>
        <v>2.5000000000000001E-5</v>
      </c>
      <c r="W12" s="25" t="s">
        <v>96</v>
      </c>
      <c r="X12" s="22">
        <v>6.0099999999999997E-3</v>
      </c>
      <c r="Y12" s="22">
        <v>1.0800000000000001E-2</v>
      </c>
      <c r="Z12" s="24">
        <f>0.5* 0.00001</f>
        <v>5.0000000000000004E-6</v>
      </c>
      <c r="AA12" s="24">
        <f>0.5* 0.003</f>
        <v>1.5E-3</v>
      </c>
      <c r="AB12" s="22">
        <v>7.6E-3</v>
      </c>
      <c r="AC12" s="22">
        <v>4.1300000000000003E-2</v>
      </c>
      <c r="AD12" s="22">
        <v>3.2000000000000003E-4</v>
      </c>
      <c r="AE12" s="24">
        <f t="shared" si="5"/>
        <v>5.0000000000000001E-3</v>
      </c>
      <c r="AF12" s="24">
        <f t="shared" si="4"/>
        <v>5.0000000000000001E-4</v>
      </c>
    </row>
    <row r="13" spans="1:32">
      <c r="A13" s="20" t="s">
        <v>20</v>
      </c>
      <c r="B13" s="21">
        <v>43082.5</v>
      </c>
      <c r="C13" s="22">
        <v>4</v>
      </c>
      <c r="D13" s="22">
        <v>1170</v>
      </c>
      <c r="E13" s="22">
        <v>645</v>
      </c>
      <c r="F13" s="22">
        <v>8.23</v>
      </c>
      <c r="G13" s="25" t="s">
        <v>96</v>
      </c>
      <c r="H13" s="22">
        <v>938</v>
      </c>
      <c r="I13" s="22">
        <v>0.14000000000000001</v>
      </c>
      <c r="J13" s="24">
        <f t="shared" si="0"/>
        <v>2.5000000000000001E-3</v>
      </c>
      <c r="K13" s="22">
        <v>3.28</v>
      </c>
      <c r="L13" s="25" t="s">
        <v>96</v>
      </c>
      <c r="M13" s="22">
        <v>511</v>
      </c>
      <c r="N13" s="28">
        <f t="shared" si="3"/>
        <v>1.4E-2</v>
      </c>
      <c r="O13" s="24">
        <f t="shared" si="1"/>
        <v>2.5000000000000001E-3</v>
      </c>
      <c r="P13" s="22">
        <v>1.6500000000000001E-2</v>
      </c>
      <c r="Q13" s="24">
        <f t="shared" si="2"/>
        <v>0.25</v>
      </c>
      <c r="R13" s="22">
        <v>5.7999999999999996E-3</v>
      </c>
      <c r="S13" s="22">
        <v>7.9100000000000004E-3</v>
      </c>
      <c r="T13" s="22">
        <v>5.4E-6</v>
      </c>
      <c r="U13" s="24">
        <f>0.5* 0.0005</f>
        <v>2.5000000000000001E-4</v>
      </c>
      <c r="V13" s="24">
        <f>0.5* 0.00005</f>
        <v>2.5000000000000001E-5</v>
      </c>
      <c r="W13" s="24">
        <f>0.5* 0.000005</f>
        <v>2.5000000000000002E-6</v>
      </c>
      <c r="X13" s="22">
        <v>5.9100000000000003E-3</v>
      </c>
      <c r="Y13" s="22">
        <v>1.0999999999999999E-2</v>
      </c>
      <c r="Z13" s="24">
        <f>0.5* 0.00001</f>
        <v>5.0000000000000004E-6</v>
      </c>
      <c r="AA13" s="24">
        <f>0.5* 0.003</f>
        <v>1.5E-3</v>
      </c>
      <c r="AB13" s="22">
        <v>7.4200000000000004E-3</v>
      </c>
      <c r="AC13" s="22">
        <v>4.8899999999999999E-2</v>
      </c>
      <c r="AD13" s="22">
        <v>2.5999999999999998E-4</v>
      </c>
      <c r="AE13" s="24">
        <f t="shared" si="5"/>
        <v>5.0000000000000001E-3</v>
      </c>
      <c r="AF13" s="24">
        <f t="shared" si="4"/>
        <v>5.0000000000000001E-4</v>
      </c>
    </row>
    <row r="14" spans="1:32">
      <c r="A14" s="14"/>
      <c r="B14" s="15" t="s">
        <v>100</v>
      </c>
      <c r="C14" s="29">
        <f t="shared" ref="C14:AF14" si="6">MIN(C2:C13)</f>
        <v>1.6</v>
      </c>
      <c r="D14" s="16">
        <f t="shared" si="6"/>
        <v>1130</v>
      </c>
      <c r="E14" s="16">
        <f t="shared" si="6"/>
        <v>634</v>
      </c>
      <c r="F14" s="30">
        <f t="shared" si="6"/>
        <v>8.15</v>
      </c>
      <c r="G14" s="29">
        <f t="shared" si="6"/>
        <v>1.5</v>
      </c>
      <c r="H14" s="16">
        <f t="shared" si="6"/>
        <v>886</v>
      </c>
      <c r="I14" s="30">
        <f t="shared" si="6"/>
        <v>0.12</v>
      </c>
      <c r="J14" s="31">
        <f t="shared" si="6"/>
        <v>2.5000000000000001E-3</v>
      </c>
      <c r="K14" s="30">
        <f t="shared" si="6"/>
        <v>2.27</v>
      </c>
      <c r="L14" s="31">
        <f t="shared" si="6"/>
        <v>2.5000000000000001E-3</v>
      </c>
      <c r="M14" s="16">
        <f t="shared" si="6"/>
        <v>470</v>
      </c>
      <c r="N14" s="64">
        <f t="shared" si="6"/>
        <v>3.2000000000000002E-3</v>
      </c>
      <c r="O14" s="31">
        <f t="shared" si="6"/>
        <v>2.5000000000000001E-3</v>
      </c>
      <c r="P14" s="31">
        <f t="shared" si="6"/>
        <v>5.7000000000000002E-3</v>
      </c>
      <c r="Q14" s="30">
        <f t="shared" si="6"/>
        <v>0.25</v>
      </c>
      <c r="R14" s="38">
        <f t="shared" si="6"/>
        <v>1.2800000000000001E-3</v>
      </c>
      <c r="S14" s="31">
        <f t="shared" si="6"/>
        <v>7.4000000000000003E-3</v>
      </c>
      <c r="T14" s="40">
        <f t="shared" si="6"/>
        <v>2.5000000000000002E-6</v>
      </c>
      <c r="U14" s="38">
        <f t="shared" si="6"/>
        <v>2.5000000000000001E-4</v>
      </c>
      <c r="V14" s="39">
        <f t="shared" si="6"/>
        <v>5.0000000000000004E-6</v>
      </c>
      <c r="W14" s="40">
        <f t="shared" si="6"/>
        <v>2.5000000000000002E-6</v>
      </c>
      <c r="X14" s="31">
        <f t="shared" si="6"/>
        <v>5.3E-3</v>
      </c>
      <c r="Y14" s="31">
        <f t="shared" si="6"/>
        <v>1.04E-2</v>
      </c>
      <c r="Z14" s="40">
        <f t="shared" si="6"/>
        <v>2.5000000000000002E-6</v>
      </c>
      <c r="AA14" s="31">
        <f t="shared" si="6"/>
        <v>2.5000000000000001E-4</v>
      </c>
      <c r="AB14" s="38">
        <f t="shared" si="6"/>
        <v>7.2300000000000003E-3</v>
      </c>
      <c r="AC14" s="31">
        <f t="shared" si="6"/>
        <v>1.8800000000000001E-2</v>
      </c>
      <c r="AD14" s="38">
        <f t="shared" si="6"/>
        <v>2.5999999999999998E-4</v>
      </c>
      <c r="AE14" s="31">
        <f t="shared" si="6"/>
        <v>5.0000000000000001E-4</v>
      </c>
      <c r="AF14" s="38">
        <f t="shared" si="6"/>
        <v>2.5000000000000001E-4</v>
      </c>
    </row>
    <row r="15" spans="1:32">
      <c r="A15" s="14"/>
      <c r="B15" s="15" t="s">
        <v>101</v>
      </c>
      <c r="C15" s="29">
        <f t="shared" ref="C15:AF15" si="7">MAX(C2:C13)</f>
        <v>12.1</v>
      </c>
      <c r="D15" s="16">
        <f t="shared" si="7"/>
        <v>1380</v>
      </c>
      <c r="E15" s="16">
        <f t="shared" si="7"/>
        <v>851</v>
      </c>
      <c r="F15" s="30">
        <f t="shared" si="7"/>
        <v>8.27</v>
      </c>
      <c r="G15" s="29">
        <f t="shared" si="7"/>
        <v>5.8</v>
      </c>
      <c r="H15" s="16">
        <f t="shared" si="7"/>
        <v>1110</v>
      </c>
      <c r="I15" s="30">
        <f t="shared" si="7"/>
        <v>24.7</v>
      </c>
      <c r="J15" s="31">
        <f t="shared" si="7"/>
        <v>2.5000000000000001E-3</v>
      </c>
      <c r="K15" s="30">
        <f t="shared" si="7"/>
        <v>3.28</v>
      </c>
      <c r="L15" s="31">
        <f t="shared" si="7"/>
        <v>2.5000000000000001E-3</v>
      </c>
      <c r="M15" s="16">
        <f t="shared" si="7"/>
        <v>617</v>
      </c>
      <c r="N15" s="64">
        <f t="shared" si="7"/>
        <v>1.6200000000000003E-2</v>
      </c>
      <c r="O15" s="31">
        <f t="shared" si="7"/>
        <v>2.5000000000000001E-3</v>
      </c>
      <c r="P15" s="31">
        <f t="shared" si="7"/>
        <v>1.8700000000000001E-2</v>
      </c>
      <c r="Q15" s="30">
        <f t="shared" si="7"/>
        <v>0.25</v>
      </c>
      <c r="R15" s="38">
        <f t="shared" si="7"/>
        <v>1.2800000000000001E-2</v>
      </c>
      <c r="S15" s="31">
        <f t="shared" si="7"/>
        <v>7.9699999999999997E-3</v>
      </c>
      <c r="T15" s="40">
        <f t="shared" si="7"/>
        <v>5.4E-6</v>
      </c>
      <c r="U15" s="38">
        <f t="shared" si="7"/>
        <v>5.5000000000000003E-4</v>
      </c>
      <c r="V15" s="39">
        <f t="shared" si="7"/>
        <v>2.5000000000000001E-5</v>
      </c>
      <c r="W15" s="40">
        <f t="shared" si="7"/>
        <v>2.5000000000000002E-6</v>
      </c>
      <c r="X15" s="31">
        <f t="shared" si="7"/>
        <v>6.1599999999999997E-3</v>
      </c>
      <c r="Y15" s="31">
        <f t="shared" si="7"/>
        <v>1.12E-2</v>
      </c>
      <c r="Z15" s="40">
        <f t="shared" si="7"/>
        <v>5.0000000000000004E-6</v>
      </c>
      <c r="AA15" s="31">
        <f t="shared" si="7"/>
        <v>1.5E-3</v>
      </c>
      <c r="AB15" s="38">
        <f t="shared" si="7"/>
        <v>1.54E-2</v>
      </c>
      <c r="AC15" s="31">
        <f t="shared" si="7"/>
        <v>4.8899999999999999E-2</v>
      </c>
      <c r="AD15" s="38">
        <f t="shared" si="7"/>
        <v>1.0200000000000001E-3</v>
      </c>
      <c r="AE15" s="31">
        <f t="shared" si="7"/>
        <v>1.4999999999999999E-2</v>
      </c>
      <c r="AF15" s="38">
        <f t="shared" si="7"/>
        <v>5.0000000000000001E-4</v>
      </c>
    </row>
    <row r="16" spans="1:32">
      <c r="A16" s="14"/>
      <c r="B16" s="15" t="s">
        <v>102</v>
      </c>
      <c r="C16" s="29">
        <f t="shared" ref="C16:AF16" si="8">AVERAGE(C2:C13)</f>
        <v>6.7250000000000005</v>
      </c>
      <c r="D16" s="16">
        <f t="shared" si="8"/>
        <v>1175.8333333333333</v>
      </c>
      <c r="E16" s="16">
        <f t="shared" si="8"/>
        <v>691.5454545454545</v>
      </c>
      <c r="F16" s="30">
        <f t="shared" si="8"/>
        <v>8.2216666666666658</v>
      </c>
      <c r="G16" s="29">
        <f t="shared" si="8"/>
        <v>2.5750000000000002</v>
      </c>
      <c r="H16" s="16">
        <f t="shared" si="8"/>
        <v>959.83333333333337</v>
      </c>
      <c r="I16" s="30">
        <f t="shared" si="8"/>
        <v>2.2683333333333335</v>
      </c>
      <c r="J16" s="31">
        <f t="shared" si="8"/>
        <v>2.4999999999999996E-3</v>
      </c>
      <c r="K16" s="30">
        <f t="shared" si="8"/>
        <v>3.0375000000000001</v>
      </c>
      <c r="L16" s="31">
        <f t="shared" si="8"/>
        <v>2.5000000000000001E-3</v>
      </c>
      <c r="M16" s="16">
        <f t="shared" si="8"/>
        <v>504.16666666666669</v>
      </c>
      <c r="N16" s="64">
        <f t="shared" si="8"/>
        <v>1.2800000000000001E-2</v>
      </c>
      <c r="O16" s="31">
        <f t="shared" si="8"/>
        <v>2.4999999999999996E-3</v>
      </c>
      <c r="P16" s="31">
        <f t="shared" si="8"/>
        <v>1.5299999999999999E-2</v>
      </c>
      <c r="Q16" s="30">
        <f t="shared" si="8"/>
        <v>0.25</v>
      </c>
      <c r="R16" s="38">
        <f t="shared" si="8"/>
        <v>5.0966666666666669E-3</v>
      </c>
      <c r="S16" s="31">
        <f t="shared" si="8"/>
        <v>7.7816666666666668E-3</v>
      </c>
      <c r="T16" s="40">
        <f t="shared" si="8"/>
        <v>3.4000000000000001E-6</v>
      </c>
      <c r="U16" s="38">
        <f t="shared" si="8"/>
        <v>3.2000000000000003E-4</v>
      </c>
      <c r="V16" s="39">
        <f t="shared" si="8"/>
        <v>2.166666666666667E-5</v>
      </c>
      <c r="W16" s="40">
        <f t="shared" si="8"/>
        <v>2.5000000000000002E-6</v>
      </c>
      <c r="X16" s="31">
        <f t="shared" si="8"/>
        <v>5.8716666666666665E-3</v>
      </c>
      <c r="Y16" s="31">
        <f t="shared" si="8"/>
        <v>1.0833333333333334E-2</v>
      </c>
      <c r="Z16" s="40">
        <f t="shared" si="8"/>
        <v>4.5833333333333332E-6</v>
      </c>
      <c r="AA16" s="31">
        <f t="shared" si="8"/>
        <v>1.2916666666666667E-3</v>
      </c>
      <c r="AB16" s="38">
        <f t="shared" si="8"/>
        <v>8.2050000000000005E-3</v>
      </c>
      <c r="AC16" s="31">
        <f t="shared" si="8"/>
        <v>4.1091666666666665E-2</v>
      </c>
      <c r="AD16" s="38">
        <f t="shared" si="8"/>
        <v>3.8833333333333336E-4</v>
      </c>
      <c r="AE16" s="31">
        <f t="shared" si="8"/>
        <v>5.0833333333333329E-3</v>
      </c>
      <c r="AF16" s="38">
        <f t="shared" si="8"/>
        <v>4.5833333333333343E-4</v>
      </c>
    </row>
    <row r="17" spans="1:32">
      <c r="A17" s="14"/>
      <c r="B17" s="15" t="s">
        <v>103</v>
      </c>
      <c r="C17" s="29">
        <f t="shared" ref="C17:AF17" si="9">_xlfn.STDEV.P(C2:C13)</f>
        <v>3.4390223901568278</v>
      </c>
      <c r="D17" s="16">
        <f t="shared" si="9"/>
        <v>63.56864181514517</v>
      </c>
      <c r="E17" s="16">
        <f t="shared" si="9"/>
        <v>56.055757366075227</v>
      </c>
      <c r="F17" s="30">
        <f t="shared" si="9"/>
        <v>3.3870669054835927E-2</v>
      </c>
      <c r="G17" s="29">
        <f t="shared" si="9"/>
        <v>1.8619546181365427</v>
      </c>
      <c r="H17" s="16">
        <f t="shared" si="9"/>
        <v>53.526992152454156</v>
      </c>
      <c r="I17" s="30">
        <f t="shared" si="9"/>
        <v>6.7645150520114052</v>
      </c>
      <c r="J17" s="31">
        <f t="shared" si="9"/>
        <v>4.3368086899420177E-19</v>
      </c>
      <c r="K17" s="30">
        <f t="shared" si="9"/>
        <v>0.25485698603988338</v>
      </c>
      <c r="L17" s="31">
        <f t="shared" si="9"/>
        <v>0</v>
      </c>
      <c r="M17" s="16">
        <f t="shared" si="9"/>
        <v>36.841628025313369</v>
      </c>
      <c r="N17" s="64">
        <f t="shared" si="9"/>
        <v>3.2049440972763731E-3</v>
      </c>
      <c r="O17" s="31">
        <f t="shared" si="9"/>
        <v>4.3368086899420177E-19</v>
      </c>
      <c r="P17" s="31">
        <f t="shared" si="9"/>
        <v>3.2049440972763731E-3</v>
      </c>
      <c r="Q17" s="30">
        <f t="shared" si="9"/>
        <v>0</v>
      </c>
      <c r="R17" s="38">
        <f t="shared" si="9"/>
        <v>4.2239857428210559E-3</v>
      </c>
      <c r="S17" s="31">
        <f t="shared" si="9"/>
        <v>2.0464739322931908E-4</v>
      </c>
      <c r="T17" s="40">
        <f t="shared" si="9"/>
        <v>1.2780193008453876E-6</v>
      </c>
      <c r="U17" s="38">
        <f t="shared" si="9"/>
        <v>1.1180339887498949E-4</v>
      </c>
      <c r="V17" s="39">
        <f t="shared" si="9"/>
        <v>7.453559924999299E-6</v>
      </c>
      <c r="W17" s="40">
        <f t="shared" si="9"/>
        <v>0</v>
      </c>
      <c r="X17" s="31">
        <f t="shared" si="9"/>
        <v>2.7223866163513368E-4</v>
      </c>
      <c r="Y17" s="31">
        <f t="shared" si="9"/>
        <v>2.4944382578492949E-4</v>
      </c>
      <c r="Z17" s="40">
        <f t="shared" si="9"/>
        <v>9.3169499062491248E-7</v>
      </c>
      <c r="AA17" s="31">
        <f t="shared" si="9"/>
        <v>4.6584749531245612E-4</v>
      </c>
      <c r="AB17" s="38">
        <f t="shared" si="9"/>
        <v>2.1835655092836883E-3</v>
      </c>
      <c r="AC17" s="31">
        <f t="shared" si="9"/>
        <v>7.4838112319563091E-3</v>
      </c>
      <c r="AD17" s="38">
        <f t="shared" si="9"/>
        <v>1.9907424633928809E-4</v>
      </c>
      <c r="AE17" s="31">
        <f t="shared" si="9"/>
        <v>3.4207292919623006E-3</v>
      </c>
      <c r="AF17" s="38">
        <f t="shared" si="9"/>
        <v>9.3169499062491218E-5</v>
      </c>
    </row>
    <row r="18" spans="1:32" ht="12.75" customHeight="1">
      <c r="A18" s="17"/>
      <c r="B18" s="131" t="s">
        <v>112</v>
      </c>
      <c r="C18" s="130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</row>
    <row r="19" spans="1:32" ht="12.75" customHeight="1">
      <c r="A19" s="17"/>
      <c r="B19" s="130" t="s">
        <v>117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</row>
    <row r="20" spans="1:32" ht="12.75" customHeight="1">
      <c r="A20" s="17"/>
      <c r="B20" s="130" t="s">
        <v>114</v>
      </c>
      <c r="C20" s="130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</row>
    <row r="21" spans="1:32" ht="12.75" customHeight="1">
      <c r="A21" s="17"/>
      <c r="B21" s="130" t="s">
        <v>108</v>
      </c>
      <c r="C21" s="130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</row>
    <row r="22" spans="1:32" ht="12.75" customHeight="1">
      <c r="A22" s="18"/>
      <c r="B22" s="130" t="s">
        <v>115</v>
      </c>
      <c r="C22" s="130"/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</row>
    <row r="23" spans="1:32" ht="12.75" customHeight="1"/>
  </sheetData>
  <mergeCells count="5">
    <mergeCell ref="B22:AF22"/>
    <mergeCell ref="B18:AF18"/>
    <mergeCell ref="B19:AF19"/>
    <mergeCell ref="B20:AF20"/>
    <mergeCell ref="B21:AF21"/>
  </mergeCells>
  <printOptions horizontalCentered="1"/>
  <pageMargins left="0.25" right="0.25" top="1.0833333333333299" bottom="0.75" header="0.3" footer="0.3"/>
  <pageSetup orientation="landscape" r:id="rId1"/>
  <headerFooter alignWithMargins="0">
    <oddHeader>&amp;LBarrick Gold Inc. - Nickel Plate Mine&amp;C&amp;"-,Regular"&amp;18
Table 31 - REDTOP (E206638) Data&amp;RAnnual Report, 2017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T16"/>
  <sheetViews>
    <sheetView view="pageLayout" zoomScaleNormal="100" workbookViewId="0">
      <selection activeCell="B33" sqref="B33"/>
    </sheetView>
  </sheetViews>
  <sheetFormatPr defaultColWidth="9.1328125" defaultRowHeight="15.75"/>
  <cols>
    <col min="1" max="1" width="8.73046875" style="19" bestFit="1" customWidth="1"/>
    <col min="2" max="2" width="11" style="23" bestFit="1" customWidth="1"/>
    <col min="3" max="3" width="3.86328125" style="19" bestFit="1" customWidth="1"/>
    <col min="4" max="4" width="4.59765625" style="19" bestFit="1" customWidth="1"/>
    <col min="5" max="6" width="6.86328125" style="19" bestFit="1" customWidth="1"/>
    <col min="7" max="7" width="5.73046875" style="19" bestFit="1" customWidth="1"/>
    <col min="8" max="9" width="6.86328125" style="19" bestFit="1" customWidth="1"/>
    <col min="10" max="10" width="8" style="19" bestFit="1" customWidth="1"/>
    <col min="11" max="11" width="9.1328125" style="19" bestFit="1" customWidth="1"/>
    <col min="12" max="12" width="6.86328125" style="19" bestFit="1" customWidth="1"/>
    <col min="13" max="13" width="7.265625" style="74" bestFit="1" customWidth="1"/>
    <col min="14" max="15" width="8" style="19" bestFit="1" customWidth="1"/>
    <col min="16" max="16" width="5.86328125" style="19" bestFit="1" customWidth="1"/>
    <col min="17" max="17" width="9.1328125" style="19" bestFit="1" customWidth="1"/>
    <col min="18" max="18" width="5.73046875" style="19" bestFit="1" customWidth="1"/>
    <col min="19" max="20" width="9.1328125" style="19" bestFit="1" customWidth="1"/>
    <col min="21" max="16384" width="9.1328125" style="19"/>
  </cols>
  <sheetData>
    <row r="1" spans="1:20" ht="132">
      <c r="A1" s="1" t="s">
        <v>45</v>
      </c>
      <c r="B1" s="2" t="s">
        <v>46</v>
      </c>
      <c r="C1" s="5" t="s">
        <v>47</v>
      </c>
      <c r="D1" s="5" t="s">
        <v>50</v>
      </c>
      <c r="E1" s="5" t="s">
        <v>51</v>
      </c>
      <c r="F1" s="71" t="s">
        <v>0</v>
      </c>
      <c r="G1" s="4" t="s">
        <v>52</v>
      </c>
      <c r="H1" s="71" t="s">
        <v>54</v>
      </c>
      <c r="I1" s="5" t="s">
        <v>55</v>
      </c>
      <c r="J1" s="5" t="s">
        <v>56</v>
      </c>
      <c r="K1" s="7" t="s">
        <v>57</v>
      </c>
      <c r="L1" s="5" t="s">
        <v>59</v>
      </c>
      <c r="M1" s="73" t="s">
        <v>105</v>
      </c>
      <c r="N1" s="7" t="s">
        <v>60</v>
      </c>
      <c r="O1" s="7" t="s">
        <v>61</v>
      </c>
      <c r="P1" s="4" t="s">
        <v>62</v>
      </c>
      <c r="Q1" s="10" t="s">
        <v>82</v>
      </c>
      <c r="R1" s="9" t="s">
        <v>85</v>
      </c>
      <c r="S1" s="10" t="s">
        <v>86</v>
      </c>
      <c r="T1" s="10" t="s">
        <v>95</v>
      </c>
    </row>
    <row r="2" spans="1:20">
      <c r="A2" s="20" t="s">
        <v>40</v>
      </c>
      <c r="B2" s="21">
        <v>42774</v>
      </c>
      <c r="C2" s="142" t="s">
        <v>44</v>
      </c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4"/>
    </row>
    <row r="3" spans="1:20">
      <c r="A3" s="20" t="s">
        <v>40</v>
      </c>
      <c r="B3" s="21">
        <v>42879</v>
      </c>
      <c r="C3" s="25" t="s">
        <v>126</v>
      </c>
      <c r="D3" s="22">
        <v>5.8</v>
      </c>
      <c r="E3" s="22">
        <v>3930</v>
      </c>
      <c r="F3" s="22">
        <v>2180</v>
      </c>
      <c r="G3" s="22">
        <v>8.06</v>
      </c>
      <c r="H3" s="22">
        <v>3960</v>
      </c>
      <c r="I3" s="22">
        <v>14.6</v>
      </c>
      <c r="J3" s="22">
        <v>6.4000000000000003E-3</v>
      </c>
      <c r="K3" s="22">
        <v>13.7</v>
      </c>
      <c r="L3" s="22">
        <v>2620</v>
      </c>
      <c r="M3" s="28">
        <f>O3-N3</f>
        <v>0.56869999999999998</v>
      </c>
      <c r="N3" s="22">
        <v>9.2999999999999992E-3</v>
      </c>
      <c r="O3" s="22">
        <v>0.57799999999999996</v>
      </c>
      <c r="P3" s="24">
        <f>0.5* 2.5</f>
        <v>1.25</v>
      </c>
      <c r="Q3" s="22">
        <v>2.3599999999999999E-2</v>
      </c>
      <c r="R3" s="22">
        <v>1.79</v>
      </c>
      <c r="S3" s="22">
        <v>1.6000000000000001E-3</v>
      </c>
      <c r="T3" s="24">
        <f>0.5* 0.005</f>
        <v>2.5000000000000001E-3</v>
      </c>
    </row>
    <row r="4" spans="1:20">
      <c r="A4" s="20" t="s">
        <v>40</v>
      </c>
      <c r="B4" s="21">
        <v>42963</v>
      </c>
      <c r="C4" s="142" t="s">
        <v>44</v>
      </c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4"/>
    </row>
    <row r="5" spans="1:20">
      <c r="A5" s="20" t="s">
        <v>40</v>
      </c>
      <c r="B5" s="21">
        <v>43054</v>
      </c>
      <c r="C5" s="142" t="s">
        <v>39</v>
      </c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4"/>
    </row>
    <row r="6" spans="1:20">
      <c r="A6" s="14"/>
      <c r="B6" s="15" t="s">
        <v>100</v>
      </c>
      <c r="C6" s="16"/>
      <c r="D6" s="29">
        <f t="shared" ref="D6:T6" si="0">MIN(D2:D5)</f>
        <v>5.8</v>
      </c>
      <c r="E6" s="16">
        <f t="shared" si="0"/>
        <v>3930</v>
      </c>
      <c r="F6" s="16">
        <f t="shared" si="0"/>
        <v>2180</v>
      </c>
      <c r="G6" s="30">
        <f t="shared" si="0"/>
        <v>8.06</v>
      </c>
      <c r="H6" s="16">
        <f t="shared" si="0"/>
        <v>3960</v>
      </c>
      <c r="I6" s="30">
        <f t="shared" si="0"/>
        <v>14.6</v>
      </c>
      <c r="J6" s="31">
        <f t="shared" si="0"/>
        <v>6.4000000000000003E-3</v>
      </c>
      <c r="K6" s="31">
        <f t="shared" si="0"/>
        <v>13.7</v>
      </c>
      <c r="L6" s="16">
        <f t="shared" si="0"/>
        <v>2620</v>
      </c>
      <c r="M6" s="64">
        <f t="shared" si="0"/>
        <v>0.56869999999999998</v>
      </c>
      <c r="N6" s="31">
        <f t="shared" si="0"/>
        <v>9.2999999999999992E-3</v>
      </c>
      <c r="O6" s="31">
        <f t="shared" si="0"/>
        <v>0.57799999999999996</v>
      </c>
      <c r="P6" s="30">
        <f t="shared" si="0"/>
        <v>1.25</v>
      </c>
      <c r="Q6" s="38">
        <f t="shared" si="0"/>
        <v>2.3599999999999999E-2</v>
      </c>
      <c r="R6" s="30">
        <f t="shared" si="0"/>
        <v>1.79</v>
      </c>
      <c r="S6" s="38">
        <f t="shared" si="0"/>
        <v>1.6000000000000001E-3</v>
      </c>
      <c r="T6" s="38">
        <f t="shared" si="0"/>
        <v>2.5000000000000001E-3</v>
      </c>
    </row>
    <row r="7" spans="1:20">
      <c r="A7" s="14"/>
      <c r="B7" s="15" t="s">
        <v>101</v>
      </c>
      <c r="C7" s="16"/>
      <c r="D7" s="29">
        <f t="shared" ref="D7:T7" si="1">MAX(D2:D5)</f>
        <v>5.8</v>
      </c>
      <c r="E7" s="16">
        <f t="shared" si="1"/>
        <v>3930</v>
      </c>
      <c r="F7" s="16">
        <f t="shared" si="1"/>
        <v>2180</v>
      </c>
      <c r="G7" s="30">
        <f t="shared" si="1"/>
        <v>8.06</v>
      </c>
      <c r="H7" s="16">
        <f t="shared" si="1"/>
        <v>3960</v>
      </c>
      <c r="I7" s="30">
        <f t="shared" si="1"/>
        <v>14.6</v>
      </c>
      <c r="J7" s="31">
        <f t="shared" si="1"/>
        <v>6.4000000000000003E-3</v>
      </c>
      <c r="K7" s="31">
        <f t="shared" si="1"/>
        <v>13.7</v>
      </c>
      <c r="L7" s="16">
        <f t="shared" si="1"/>
        <v>2620</v>
      </c>
      <c r="M7" s="64">
        <f t="shared" si="1"/>
        <v>0.56869999999999998</v>
      </c>
      <c r="N7" s="31">
        <f t="shared" si="1"/>
        <v>9.2999999999999992E-3</v>
      </c>
      <c r="O7" s="31">
        <f t="shared" si="1"/>
        <v>0.57799999999999996</v>
      </c>
      <c r="P7" s="30">
        <f t="shared" si="1"/>
        <v>1.25</v>
      </c>
      <c r="Q7" s="38">
        <f t="shared" si="1"/>
        <v>2.3599999999999999E-2</v>
      </c>
      <c r="R7" s="30">
        <f t="shared" si="1"/>
        <v>1.79</v>
      </c>
      <c r="S7" s="38">
        <f t="shared" si="1"/>
        <v>1.6000000000000001E-3</v>
      </c>
      <c r="T7" s="38">
        <f t="shared" si="1"/>
        <v>2.5000000000000001E-3</v>
      </c>
    </row>
    <row r="8" spans="1:20">
      <c r="A8" s="14"/>
      <c r="B8" s="15" t="s">
        <v>102</v>
      </c>
      <c r="C8" s="16"/>
      <c r="D8" s="29">
        <f t="shared" ref="D8:T8" si="2">AVERAGE(D2:D5)</f>
        <v>5.8</v>
      </c>
      <c r="E8" s="16">
        <f t="shared" si="2"/>
        <v>3930</v>
      </c>
      <c r="F8" s="16">
        <f t="shared" si="2"/>
        <v>2180</v>
      </c>
      <c r="G8" s="30">
        <f t="shared" si="2"/>
        <v>8.06</v>
      </c>
      <c r="H8" s="16">
        <f t="shared" si="2"/>
        <v>3960</v>
      </c>
      <c r="I8" s="30">
        <f t="shared" si="2"/>
        <v>14.6</v>
      </c>
      <c r="J8" s="31">
        <f t="shared" si="2"/>
        <v>6.4000000000000003E-3</v>
      </c>
      <c r="K8" s="31">
        <f t="shared" si="2"/>
        <v>13.7</v>
      </c>
      <c r="L8" s="16">
        <f t="shared" si="2"/>
        <v>2620</v>
      </c>
      <c r="M8" s="64">
        <f t="shared" si="2"/>
        <v>0.56869999999999998</v>
      </c>
      <c r="N8" s="31">
        <f t="shared" si="2"/>
        <v>9.2999999999999992E-3</v>
      </c>
      <c r="O8" s="31">
        <f t="shared" si="2"/>
        <v>0.57799999999999996</v>
      </c>
      <c r="P8" s="30">
        <f t="shared" si="2"/>
        <v>1.25</v>
      </c>
      <c r="Q8" s="38">
        <f t="shared" si="2"/>
        <v>2.3599999999999999E-2</v>
      </c>
      <c r="R8" s="30">
        <f t="shared" si="2"/>
        <v>1.79</v>
      </c>
      <c r="S8" s="38">
        <f t="shared" si="2"/>
        <v>1.6000000000000001E-3</v>
      </c>
      <c r="T8" s="38">
        <f t="shared" si="2"/>
        <v>2.5000000000000001E-3</v>
      </c>
    </row>
    <row r="9" spans="1:20">
      <c r="A9" s="14"/>
      <c r="B9" s="15" t="s">
        <v>103</v>
      </c>
      <c r="C9" s="16"/>
      <c r="D9" s="29">
        <f t="shared" ref="D9:T9" si="3">_xlfn.STDEV.P(D2:D5)</f>
        <v>0</v>
      </c>
      <c r="E9" s="16">
        <f t="shared" si="3"/>
        <v>0</v>
      </c>
      <c r="F9" s="16">
        <f t="shared" si="3"/>
        <v>0</v>
      </c>
      <c r="G9" s="30">
        <f t="shared" si="3"/>
        <v>0</v>
      </c>
      <c r="H9" s="16">
        <f t="shared" si="3"/>
        <v>0</v>
      </c>
      <c r="I9" s="30">
        <f t="shared" si="3"/>
        <v>0</v>
      </c>
      <c r="J9" s="31">
        <f t="shared" si="3"/>
        <v>0</v>
      </c>
      <c r="K9" s="31">
        <f t="shared" si="3"/>
        <v>0</v>
      </c>
      <c r="L9" s="16">
        <f t="shared" si="3"/>
        <v>0</v>
      </c>
      <c r="M9" s="64">
        <f t="shared" si="3"/>
        <v>0</v>
      </c>
      <c r="N9" s="31">
        <f t="shared" si="3"/>
        <v>0</v>
      </c>
      <c r="O9" s="31">
        <f t="shared" si="3"/>
        <v>0</v>
      </c>
      <c r="P9" s="30">
        <f t="shared" si="3"/>
        <v>0</v>
      </c>
      <c r="Q9" s="38">
        <f t="shared" si="3"/>
        <v>0</v>
      </c>
      <c r="R9" s="30">
        <f t="shared" si="3"/>
        <v>0</v>
      </c>
      <c r="S9" s="38">
        <f t="shared" si="3"/>
        <v>0</v>
      </c>
      <c r="T9" s="38">
        <f t="shared" si="3"/>
        <v>0</v>
      </c>
    </row>
    <row r="10" spans="1:20" ht="12.75" customHeight="1">
      <c r="A10" s="17"/>
      <c r="B10" s="131" t="s">
        <v>112</v>
      </c>
      <c r="C10" s="130"/>
      <c r="D10" s="130"/>
      <c r="E10" s="130"/>
      <c r="F10" s="130"/>
      <c r="G10" s="130"/>
      <c r="H10" s="130"/>
      <c r="I10" s="130"/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30"/>
    </row>
    <row r="11" spans="1:20" ht="12.75" customHeight="1">
      <c r="A11" s="17"/>
      <c r="B11" s="130" t="s">
        <v>117</v>
      </c>
      <c r="C11" s="130"/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</row>
    <row r="12" spans="1:20" ht="12.75" customHeight="1">
      <c r="A12" s="17"/>
      <c r="B12" s="130" t="s">
        <v>114</v>
      </c>
      <c r="C12" s="130"/>
      <c r="D12" s="130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</row>
    <row r="13" spans="1:20" ht="12.75" customHeight="1">
      <c r="A13" s="17"/>
      <c r="B13" s="130" t="s">
        <v>108</v>
      </c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</row>
    <row r="14" spans="1:20" ht="12.75" customHeight="1">
      <c r="A14" s="18"/>
      <c r="B14" s="130" t="s">
        <v>115</v>
      </c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</row>
    <row r="15" spans="1:20" ht="12.75" customHeight="1">
      <c r="A15" s="18"/>
      <c r="B15" s="130" t="s">
        <v>111</v>
      </c>
      <c r="C15" s="130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</row>
    <row r="16" spans="1:20" ht="12.75" customHeight="1"/>
  </sheetData>
  <mergeCells count="9">
    <mergeCell ref="C2:T2"/>
    <mergeCell ref="B14:T14"/>
    <mergeCell ref="B15:T15"/>
    <mergeCell ref="C4:T4"/>
    <mergeCell ref="C5:T5"/>
    <mergeCell ref="B10:T10"/>
    <mergeCell ref="B11:T11"/>
    <mergeCell ref="B12:T12"/>
    <mergeCell ref="B13:T13"/>
  </mergeCells>
  <printOptions horizontalCentered="1"/>
  <pageMargins left="0.25" right="0.25" top="1.0833333333333299" bottom="0.75" header="0.3" footer="0.3"/>
  <pageSetup orientation="landscape" r:id="rId1"/>
  <headerFooter alignWithMargins="0">
    <oddHeader>&amp;LBarrick Gold Inc. - Nickel Plate Mine&amp;C&amp;"-,Regular"&amp;18
Table 32 - RT-EAST (E215957) Data&amp;RAnnual Report, 2017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14"/>
  <sheetViews>
    <sheetView topLeftCell="B1" zoomScaleNormal="100" workbookViewId="0">
      <selection activeCell="B33" sqref="B33"/>
    </sheetView>
  </sheetViews>
  <sheetFormatPr defaultColWidth="9.1328125" defaultRowHeight="15.75"/>
  <cols>
    <col min="1" max="1" width="9.3984375" style="19" bestFit="1" customWidth="1"/>
    <col min="2" max="2" width="10.265625" style="23" bestFit="1" customWidth="1"/>
    <col min="3" max="3" width="7" style="19" bestFit="1" customWidth="1"/>
    <col min="4" max="4" width="4.59765625" style="19" bestFit="1" customWidth="1"/>
    <col min="5" max="5" width="6.86328125" style="19" bestFit="1" customWidth="1"/>
    <col min="6" max="7" width="5.73046875" style="19" bestFit="1" customWidth="1"/>
    <col min="8" max="8" width="5.1328125" style="19" bestFit="1" customWidth="1"/>
    <col min="9" max="9" width="5.73046875" style="19" bestFit="1" customWidth="1"/>
    <col min="10" max="10" width="8.1328125" style="19" bestFit="1" customWidth="1"/>
    <col min="11" max="11" width="7" style="19" bestFit="1" customWidth="1"/>
    <col min="12" max="12" width="6.86328125" style="19" bestFit="1" customWidth="1"/>
    <col min="13" max="13" width="4.265625" style="19" bestFit="1" customWidth="1"/>
    <col min="14" max="15" width="8.1328125" style="19" bestFit="1" customWidth="1"/>
    <col min="16" max="16" width="5.86328125" style="19" bestFit="1" customWidth="1"/>
    <col min="17" max="17" width="10.1328125" style="19" bestFit="1" customWidth="1"/>
    <col min="18" max="18" width="11.3984375" style="19" bestFit="1" customWidth="1"/>
    <col min="19" max="19" width="9.1328125" style="19" bestFit="1" customWidth="1"/>
    <col min="20" max="20" width="8.1328125" style="19" bestFit="1" customWidth="1"/>
    <col min="21" max="16384" width="9.1328125" style="19"/>
  </cols>
  <sheetData>
    <row r="1" spans="1:20" ht="132">
      <c r="A1" s="1" t="s">
        <v>45</v>
      </c>
      <c r="B1" s="2" t="s">
        <v>46</v>
      </c>
      <c r="C1" s="44" t="s">
        <v>47</v>
      </c>
      <c r="D1" s="5" t="s">
        <v>50</v>
      </c>
      <c r="E1" s="5" t="s">
        <v>51</v>
      </c>
      <c r="F1" s="3" t="s">
        <v>0</v>
      </c>
      <c r="G1" s="4" t="s">
        <v>52</v>
      </c>
      <c r="H1" s="3" t="s">
        <v>54</v>
      </c>
      <c r="I1" s="5" t="s">
        <v>55</v>
      </c>
      <c r="J1" s="12" t="s">
        <v>56</v>
      </c>
      <c r="K1" s="7" t="s">
        <v>57</v>
      </c>
      <c r="L1" s="5" t="s">
        <v>59</v>
      </c>
      <c r="M1" s="7" t="s">
        <v>105</v>
      </c>
      <c r="N1" s="7" t="s">
        <v>60</v>
      </c>
      <c r="O1" s="7" t="s">
        <v>61</v>
      </c>
      <c r="P1" s="4" t="s">
        <v>62</v>
      </c>
      <c r="Q1" s="10" t="s">
        <v>82</v>
      </c>
      <c r="R1" s="9" t="s">
        <v>85</v>
      </c>
      <c r="S1" s="10" t="s">
        <v>86</v>
      </c>
      <c r="T1" s="10" t="s">
        <v>95</v>
      </c>
    </row>
    <row r="2" spans="1:20">
      <c r="A2" s="20" t="s">
        <v>23</v>
      </c>
      <c r="B2" s="21">
        <v>42774.5</v>
      </c>
      <c r="C2" s="25" t="s">
        <v>34</v>
      </c>
      <c r="D2" s="83">
        <v>-0.4</v>
      </c>
      <c r="E2" s="22">
        <v>86.7</v>
      </c>
      <c r="F2" s="22">
        <v>34.6</v>
      </c>
      <c r="G2" s="22">
        <v>7.57</v>
      </c>
      <c r="H2" s="22">
        <v>57</v>
      </c>
      <c r="I2" s="22">
        <v>0.82</v>
      </c>
      <c r="J2" s="24">
        <f>0.5* 0.005</f>
        <v>2.5000000000000001E-3</v>
      </c>
      <c r="K2" s="42">
        <v>8.7999999999999995E-2</v>
      </c>
      <c r="L2" s="22">
        <v>9.7100000000000009</v>
      </c>
      <c r="M2" s="47">
        <f>O2-N2</f>
        <v>0</v>
      </c>
      <c r="N2" s="24">
        <f t="shared" ref="N2:O5" si="0">0.5* 0.005</f>
        <v>2.5000000000000001E-3</v>
      </c>
      <c r="O2" s="24">
        <f t="shared" si="0"/>
        <v>2.5000000000000001E-3</v>
      </c>
      <c r="P2" s="24">
        <f>0.5* 0.5</f>
        <v>0.25</v>
      </c>
      <c r="Q2" s="22">
        <v>7.6300000000000001E-4</v>
      </c>
      <c r="R2" s="22">
        <v>2.7800000000000001E-5</v>
      </c>
      <c r="S2" s="22">
        <v>1.08E-3</v>
      </c>
      <c r="T2" s="41">
        <v>5.2999999999999998E-4</v>
      </c>
    </row>
    <row r="3" spans="1:20">
      <c r="A3" s="20" t="s">
        <v>23</v>
      </c>
      <c r="B3" s="21">
        <v>42851.5</v>
      </c>
      <c r="C3" s="25" t="s">
        <v>34</v>
      </c>
      <c r="D3" s="83">
        <v>0</v>
      </c>
      <c r="E3" s="22">
        <v>91.7</v>
      </c>
      <c r="F3" s="22">
        <v>44.6</v>
      </c>
      <c r="G3" s="22">
        <v>7.7</v>
      </c>
      <c r="H3" s="22">
        <v>115</v>
      </c>
      <c r="I3" s="22">
        <v>2.16</v>
      </c>
      <c r="J3" s="24">
        <f>0.5* 0.005</f>
        <v>2.5000000000000001E-3</v>
      </c>
      <c r="K3" s="42">
        <v>4.4900000000000002E-2</v>
      </c>
      <c r="L3" s="22">
        <v>5.93</v>
      </c>
      <c r="M3" s="47">
        <f t="shared" ref="M3:M5" si="1">O3-N3</f>
        <v>0</v>
      </c>
      <c r="N3" s="24">
        <f t="shared" si="0"/>
        <v>2.5000000000000001E-3</v>
      </c>
      <c r="O3" s="24">
        <f t="shared" si="0"/>
        <v>2.5000000000000001E-3</v>
      </c>
      <c r="P3" s="24">
        <f>0.5* 0.5</f>
        <v>0.25</v>
      </c>
      <c r="Q3" s="22">
        <v>1.67E-3</v>
      </c>
      <c r="R3" s="22">
        <v>1.1E-4</v>
      </c>
      <c r="S3" s="22">
        <v>2.6800000000000001E-3</v>
      </c>
      <c r="T3" s="63">
        <f>0.5* 0.001</f>
        <v>5.0000000000000001E-4</v>
      </c>
    </row>
    <row r="4" spans="1:20">
      <c r="A4" s="20" t="s">
        <v>23</v>
      </c>
      <c r="B4" s="21">
        <v>42942.5</v>
      </c>
      <c r="C4" s="43">
        <v>614.32690760629998</v>
      </c>
      <c r="D4" s="22">
        <v>9.5</v>
      </c>
      <c r="E4" s="27">
        <v>74.099999999999994</v>
      </c>
      <c r="F4" s="22">
        <v>33.1</v>
      </c>
      <c r="G4" s="22">
        <v>7.76</v>
      </c>
      <c r="H4" s="22">
        <v>80</v>
      </c>
      <c r="I4" s="22">
        <v>0.28999999999999998</v>
      </c>
      <c r="J4" s="24">
        <f>0.5* 0.005</f>
        <v>2.5000000000000001E-3</v>
      </c>
      <c r="K4" s="42">
        <v>4.3999999999999997E-2</v>
      </c>
      <c r="L4" s="22">
        <v>6.44</v>
      </c>
      <c r="M4" s="47">
        <f t="shared" si="1"/>
        <v>0</v>
      </c>
      <c r="N4" s="24">
        <f t="shared" si="0"/>
        <v>2.5000000000000001E-3</v>
      </c>
      <c r="O4" s="24">
        <f t="shared" si="0"/>
        <v>2.5000000000000001E-3</v>
      </c>
      <c r="P4" s="24">
        <f>0.5* 0.5</f>
        <v>0.25</v>
      </c>
      <c r="Q4" s="22">
        <v>1.0399999999999999E-3</v>
      </c>
      <c r="R4" s="24">
        <f>0.5* 0.0001</f>
        <v>5.0000000000000002E-5</v>
      </c>
      <c r="S4" s="22">
        <v>1.2999999999999999E-3</v>
      </c>
      <c r="T4" s="63">
        <f>0.5* 0.001</f>
        <v>5.0000000000000001E-4</v>
      </c>
    </row>
    <row r="5" spans="1:20">
      <c r="A5" s="20" t="s">
        <v>23</v>
      </c>
      <c r="B5" s="21">
        <v>43033</v>
      </c>
      <c r="C5" s="43">
        <v>506.99685604668997</v>
      </c>
      <c r="D5" s="22">
        <v>1.6</v>
      </c>
      <c r="E5" s="27">
        <v>102</v>
      </c>
      <c r="F5" s="22">
        <v>37.700000000000003</v>
      </c>
      <c r="G5" s="22">
        <v>7.68</v>
      </c>
      <c r="H5" s="22">
        <v>77</v>
      </c>
      <c r="I5" s="22">
        <v>0.93</v>
      </c>
      <c r="J5" s="24">
        <f>0.5* 0.005</f>
        <v>2.5000000000000001E-3</v>
      </c>
      <c r="K5" s="49">
        <f>0.5* 0.005</f>
        <v>2.5000000000000001E-3</v>
      </c>
      <c r="L5" s="22">
        <v>16</v>
      </c>
      <c r="M5" s="47">
        <f t="shared" si="1"/>
        <v>0</v>
      </c>
      <c r="N5" s="24">
        <f t="shared" si="0"/>
        <v>2.5000000000000001E-3</v>
      </c>
      <c r="O5" s="24">
        <f t="shared" si="0"/>
        <v>2.5000000000000001E-3</v>
      </c>
      <c r="P5" s="24">
        <f>0.5* 0.5</f>
        <v>0.25</v>
      </c>
      <c r="Q5" s="22">
        <v>7.5000000000000002E-4</v>
      </c>
      <c r="R5" s="24">
        <f>0.5* 0.0001</f>
        <v>5.0000000000000002E-5</v>
      </c>
      <c r="S5" s="22">
        <v>1.0399999999999999E-3</v>
      </c>
      <c r="T5" s="63">
        <f>0.5* 0.001</f>
        <v>5.0000000000000001E-4</v>
      </c>
    </row>
    <row r="6" spans="1:20">
      <c r="A6" s="14"/>
      <c r="B6" s="15" t="s">
        <v>100</v>
      </c>
      <c r="C6" s="29">
        <f t="shared" ref="C6:T6" si="2">MIN(C2:C5)</f>
        <v>506.99685604668997</v>
      </c>
      <c r="D6" s="45">
        <f t="shared" si="2"/>
        <v>-0.4</v>
      </c>
      <c r="E6" s="29">
        <f t="shared" si="2"/>
        <v>74.099999999999994</v>
      </c>
      <c r="F6" s="29">
        <f t="shared" si="2"/>
        <v>33.1</v>
      </c>
      <c r="G6" s="30">
        <f t="shared" si="2"/>
        <v>7.57</v>
      </c>
      <c r="H6" s="16">
        <f t="shared" si="2"/>
        <v>57</v>
      </c>
      <c r="I6" s="30">
        <f t="shared" si="2"/>
        <v>0.28999999999999998</v>
      </c>
      <c r="J6" s="31">
        <f t="shared" si="2"/>
        <v>2.5000000000000001E-3</v>
      </c>
      <c r="K6" s="46">
        <f t="shared" si="2"/>
        <v>2.5000000000000001E-3</v>
      </c>
      <c r="L6" s="30">
        <f t="shared" si="2"/>
        <v>5.93</v>
      </c>
      <c r="M6" s="48">
        <f t="shared" si="2"/>
        <v>0</v>
      </c>
      <c r="N6" s="31">
        <f t="shared" si="2"/>
        <v>2.5000000000000001E-3</v>
      </c>
      <c r="O6" s="31">
        <f t="shared" si="2"/>
        <v>2.5000000000000001E-3</v>
      </c>
      <c r="P6" s="30">
        <f t="shared" si="2"/>
        <v>0.25</v>
      </c>
      <c r="Q6" s="38">
        <f t="shared" si="2"/>
        <v>7.5000000000000002E-4</v>
      </c>
      <c r="R6" s="40">
        <f t="shared" si="2"/>
        <v>2.7800000000000001E-5</v>
      </c>
      <c r="S6" s="38">
        <f t="shared" si="2"/>
        <v>1.0399999999999999E-3</v>
      </c>
      <c r="T6" s="64">
        <f t="shared" si="2"/>
        <v>5.0000000000000001E-4</v>
      </c>
    </row>
    <row r="7" spans="1:20">
      <c r="A7" s="14"/>
      <c r="B7" s="15" t="s">
        <v>101</v>
      </c>
      <c r="C7" s="29">
        <f t="shared" ref="C7:T7" si="3">MAX(C2:C5)</f>
        <v>614.32690760629998</v>
      </c>
      <c r="D7" s="29">
        <f t="shared" si="3"/>
        <v>9.5</v>
      </c>
      <c r="E7" s="29">
        <f t="shared" si="3"/>
        <v>102</v>
      </c>
      <c r="F7" s="29">
        <f t="shared" si="3"/>
        <v>44.6</v>
      </c>
      <c r="G7" s="30">
        <f t="shared" si="3"/>
        <v>7.76</v>
      </c>
      <c r="H7" s="16">
        <f t="shared" si="3"/>
        <v>115</v>
      </c>
      <c r="I7" s="30">
        <f t="shared" si="3"/>
        <v>2.16</v>
      </c>
      <c r="J7" s="31">
        <f t="shared" si="3"/>
        <v>2.5000000000000001E-3</v>
      </c>
      <c r="K7" s="46">
        <f t="shared" si="3"/>
        <v>8.7999999999999995E-2</v>
      </c>
      <c r="L7" s="30">
        <f t="shared" si="3"/>
        <v>16</v>
      </c>
      <c r="M7" s="48">
        <f t="shared" si="3"/>
        <v>0</v>
      </c>
      <c r="N7" s="31">
        <f t="shared" si="3"/>
        <v>2.5000000000000001E-3</v>
      </c>
      <c r="O7" s="31">
        <f t="shared" si="3"/>
        <v>2.5000000000000001E-3</v>
      </c>
      <c r="P7" s="30">
        <f t="shared" si="3"/>
        <v>0.25</v>
      </c>
      <c r="Q7" s="38">
        <f t="shared" si="3"/>
        <v>1.67E-3</v>
      </c>
      <c r="R7" s="40">
        <f t="shared" si="3"/>
        <v>1.1E-4</v>
      </c>
      <c r="S7" s="38">
        <f t="shared" si="3"/>
        <v>2.6800000000000001E-3</v>
      </c>
      <c r="T7" s="64">
        <f t="shared" si="3"/>
        <v>5.2999999999999998E-4</v>
      </c>
    </row>
    <row r="8" spans="1:20">
      <c r="A8" s="14"/>
      <c r="B8" s="15" t="s">
        <v>102</v>
      </c>
      <c r="C8" s="29">
        <f t="shared" ref="C8:T8" si="4">AVERAGE(C2:C5)</f>
        <v>560.66188182649501</v>
      </c>
      <c r="D8" s="29">
        <f t="shared" si="4"/>
        <v>2.6749999999999998</v>
      </c>
      <c r="E8" s="29">
        <f t="shared" si="4"/>
        <v>88.625</v>
      </c>
      <c r="F8" s="29">
        <f t="shared" si="4"/>
        <v>37.5</v>
      </c>
      <c r="G8" s="30">
        <f t="shared" si="4"/>
        <v>7.6775000000000002</v>
      </c>
      <c r="H8" s="16">
        <f t="shared" si="4"/>
        <v>82.25</v>
      </c>
      <c r="I8" s="30">
        <f t="shared" si="4"/>
        <v>1.05</v>
      </c>
      <c r="J8" s="31">
        <f t="shared" si="4"/>
        <v>2.5000000000000001E-3</v>
      </c>
      <c r="K8" s="46">
        <f t="shared" si="4"/>
        <v>4.4850000000000001E-2</v>
      </c>
      <c r="L8" s="30">
        <f t="shared" si="4"/>
        <v>9.52</v>
      </c>
      <c r="M8" s="48">
        <f t="shared" si="4"/>
        <v>0</v>
      </c>
      <c r="N8" s="31">
        <f t="shared" si="4"/>
        <v>2.5000000000000001E-3</v>
      </c>
      <c r="O8" s="31">
        <f t="shared" si="4"/>
        <v>2.5000000000000001E-3</v>
      </c>
      <c r="P8" s="30">
        <f t="shared" si="4"/>
        <v>0.25</v>
      </c>
      <c r="Q8" s="38">
        <f t="shared" si="4"/>
        <v>1.05575E-3</v>
      </c>
      <c r="R8" s="40">
        <f t="shared" si="4"/>
        <v>5.9450000000000002E-5</v>
      </c>
      <c r="S8" s="38">
        <f t="shared" si="4"/>
        <v>1.5250000000000001E-3</v>
      </c>
      <c r="T8" s="64">
        <f t="shared" si="4"/>
        <v>5.0750000000000003E-4</v>
      </c>
    </row>
    <row r="9" spans="1:20">
      <c r="A9" s="14"/>
      <c r="B9" s="15" t="s">
        <v>103</v>
      </c>
      <c r="C9" s="29">
        <f t="shared" ref="C9:T9" si="5">_xlfn.STDEV.P(C2:C5)</f>
        <v>53.665025779805006</v>
      </c>
      <c r="D9" s="29">
        <f t="shared" si="5"/>
        <v>4.010844674130376</v>
      </c>
      <c r="E9" s="29">
        <f t="shared" si="5"/>
        <v>10.037772412243712</v>
      </c>
      <c r="F9" s="29">
        <f t="shared" si="5"/>
        <v>4.4221035718309523</v>
      </c>
      <c r="G9" s="30">
        <f t="shared" si="5"/>
        <v>6.8693158320170269E-2</v>
      </c>
      <c r="H9" s="16">
        <f t="shared" si="5"/>
        <v>20.873128658636684</v>
      </c>
      <c r="I9" s="30">
        <f t="shared" si="5"/>
        <v>0.6850182479321264</v>
      </c>
      <c r="J9" s="31">
        <f t="shared" si="5"/>
        <v>0</v>
      </c>
      <c r="K9" s="46">
        <f t="shared" si="5"/>
        <v>3.0233135795018014E-2</v>
      </c>
      <c r="L9" s="30">
        <f t="shared" si="5"/>
        <v>4.012511682225985</v>
      </c>
      <c r="M9" s="48">
        <f t="shared" si="5"/>
        <v>0</v>
      </c>
      <c r="N9" s="31">
        <f t="shared" si="5"/>
        <v>0</v>
      </c>
      <c r="O9" s="31">
        <f t="shared" si="5"/>
        <v>0</v>
      </c>
      <c r="P9" s="30">
        <f t="shared" si="5"/>
        <v>0</v>
      </c>
      <c r="Q9" s="38">
        <f t="shared" si="5"/>
        <v>3.7307397054739692E-4</v>
      </c>
      <c r="R9" s="40">
        <f t="shared" si="5"/>
        <v>3.0559900196172104E-5</v>
      </c>
      <c r="S9" s="38">
        <f t="shared" si="5"/>
        <v>6.7414760994903783E-4</v>
      </c>
      <c r="T9" s="64">
        <f t="shared" si="5"/>
        <v>1.2990381056766567E-5</v>
      </c>
    </row>
    <row r="10" spans="1:20" ht="12.75" customHeight="1">
      <c r="A10" s="17"/>
      <c r="B10" s="131" t="s">
        <v>112</v>
      </c>
      <c r="C10" s="130"/>
      <c r="D10" s="130"/>
      <c r="E10" s="130"/>
      <c r="F10" s="130"/>
      <c r="G10" s="130"/>
      <c r="H10" s="130"/>
      <c r="I10" s="130"/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30"/>
    </row>
    <row r="11" spans="1:20" ht="12.75" customHeight="1">
      <c r="A11" s="17"/>
      <c r="B11" s="130" t="s">
        <v>117</v>
      </c>
      <c r="C11" s="130"/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</row>
    <row r="12" spans="1:20" ht="12.75" customHeight="1">
      <c r="A12" s="17"/>
      <c r="B12" s="130" t="s">
        <v>114</v>
      </c>
      <c r="C12" s="130"/>
      <c r="D12" s="130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</row>
    <row r="13" spans="1:20" ht="12.75" customHeight="1">
      <c r="A13" s="18"/>
      <c r="B13" s="130" t="s">
        <v>115</v>
      </c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</row>
    <row r="14" spans="1:20" ht="12.75" customHeight="1"/>
  </sheetData>
  <mergeCells count="4">
    <mergeCell ref="B13:T13"/>
    <mergeCell ref="B10:T10"/>
    <mergeCell ref="B12:T12"/>
    <mergeCell ref="B11:T11"/>
  </mergeCells>
  <printOptions horizontalCentered="1"/>
  <pageMargins left="0.25" right="0.25" top="1.0833333333333299" bottom="0.75" header="0.3" footer="0.3"/>
  <pageSetup orientation="landscape" r:id="rId1"/>
  <headerFooter alignWithMargins="0">
    <oddHeader>&amp;LBarrick Gold Inc. - Nickel Plate Mine&amp;C&amp;"-,Regular"&amp;18
Table 6 - CAHILL-1 (E206635) Data&amp;RAnnual Report, 2017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G15"/>
  <sheetViews>
    <sheetView zoomScaleNormal="100" workbookViewId="0">
      <pane xSplit="2" ySplit="1" topLeftCell="W2" activePane="bottomRight" state="frozen"/>
      <selection activeCell="B33" sqref="B33"/>
      <selection pane="topRight" activeCell="B33" sqref="B33"/>
      <selection pane="bottomLeft" activeCell="B33" sqref="B33"/>
      <selection pane="bottomRight" activeCell="B33" sqref="B33"/>
    </sheetView>
  </sheetViews>
  <sheetFormatPr defaultColWidth="9.1328125" defaultRowHeight="15.75"/>
  <cols>
    <col min="1" max="1" width="9.3984375" style="19" bestFit="1" customWidth="1"/>
    <col min="2" max="2" width="10.265625" style="23" bestFit="1" customWidth="1"/>
    <col min="3" max="3" width="3.86328125" style="19" bestFit="1" customWidth="1"/>
    <col min="4" max="4" width="4.59765625" style="19" bestFit="1" customWidth="1"/>
    <col min="5" max="6" width="6.86328125" style="19" bestFit="1" customWidth="1"/>
    <col min="7" max="7" width="5.73046875" style="19" bestFit="1" customWidth="1"/>
    <col min="8" max="9" width="6.86328125" style="19" bestFit="1" customWidth="1"/>
    <col min="10" max="10" width="8" style="19" bestFit="1" customWidth="1"/>
    <col min="11" max="14" width="6.86328125" style="19" bestFit="1" customWidth="1"/>
    <col min="15" max="15" width="7.265625" style="74" bestFit="1" customWidth="1"/>
    <col min="16" max="16" width="8" style="19" bestFit="1" customWidth="1"/>
    <col min="17" max="18" width="6.86328125" style="19" bestFit="1" customWidth="1"/>
    <col min="19" max="19" width="9.265625" style="19" bestFit="1" customWidth="1"/>
    <col min="20" max="20" width="8" style="19" bestFit="1" customWidth="1"/>
    <col min="21" max="21" width="11.59765625" style="19" bestFit="1" customWidth="1"/>
    <col min="22" max="22" width="9.265625" style="19" customWidth="1"/>
    <col min="23" max="23" width="10.3984375" style="19" customWidth="1"/>
    <col min="24" max="24" width="11.59765625" style="19" bestFit="1" customWidth="1"/>
    <col min="25" max="25" width="8" style="19" bestFit="1" customWidth="1"/>
    <col min="26" max="26" width="9.1328125" style="19" bestFit="1" customWidth="1"/>
    <col min="27" max="27" width="11.59765625" style="19" bestFit="1" customWidth="1"/>
    <col min="28" max="28" width="9.265625" style="19" bestFit="1" customWidth="1"/>
    <col min="29" max="29" width="9.1328125" style="19" bestFit="1" customWidth="1"/>
    <col min="30" max="30" width="5.73046875" style="19" bestFit="1" customWidth="1"/>
    <col min="31" max="31" width="9.265625" style="19" bestFit="1" customWidth="1"/>
    <col min="32" max="32" width="8" style="19" bestFit="1" customWidth="1"/>
    <col min="33" max="33" width="9.265625" style="19" bestFit="1" customWidth="1"/>
    <col min="34" max="16384" width="9.1328125" style="19"/>
  </cols>
  <sheetData>
    <row r="1" spans="1:33" ht="132">
      <c r="A1" s="1" t="s">
        <v>45</v>
      </c>
      <c r="B1" s="2" t="s">
        <v>46</v>
      </c>
      <c r="C1" s="71" t="s">
        <v>47</v>
      </c>
      <c r="D1" s="5" t="s">
        <v>50</v>
      </c>
      <c r="E1" s="5" t="s">
        <v>51</v>
      </c>
      <c r="F1" s="71" t="s">
        <v>0</v>
      </c>
      <c r="G1" s="4" t="s">
        <v>52</v>
      </c>
      <c r="H1" s="71" t="s">
        <v>53</v>
      </c>
      <c r="I1" s="71" t="s">
        <v>54</v>
      </c>
      <c r="J1" s="5" t="s">
        <v>55</v>
      </c>
      <c r="K1" s="5" t="s">
        <v>56</v>
      </c>
      <c r="L1" s="7" t="s">
        <v>57</v>
      </c>
      <c r="M1" s="7" t="s">
        <v>58</v>
      </c>
      <c r="N1" s="5" t="s">
        <v>59</v>
      </c>
      <c r="O1" s="73" t="s">
        <v>105</v>
      </c>
      <c r="P1" s="7" t="s">
        <v>60</v>
      </c>
      <c r="Q1" s="7" t="s">
        <v>61</v>
      </c>
      <c r="R1" s="4" t="s">
        <v>62</v>
      </c>
      <c r="S1" s="7" t="s">
        <v>64</v>
      </c>
      <c r="T1" s="8" t="s">
        <v>65</v>
      </c>
      <c r="U1" s="8" t="s">
        <v>67</v>
      </c>
      <c r="V1" s="10" t="s">
        <v>70</v>
      </c>
      <c r="W1" s="8" t="s">
        <v>72</v>
      </c>
      <c r="X1" s="11" t="s">
        <v>74</v>
      </c>
      <c r="Y1" s="8" t="s">
        <v>75</v>
      </c>
      <c r="Z1" s="10" t="s">
        <v>77</v>
      </c>
      <c r="AA1" s="8" t="s">
        <v>78</v>
      </c>
      <c r="AB1" s="10" t="s">
        <v>80</v>
      </c>
      <c r="AC1" s="10" t="s">
        <v>82</v>
      </c>
      <c r="AD1" s="9" t="s">
        <v>85</v>
      </c>
      <c r="AE1" s="10" t="s">
        <v>86</v>
      </c>
      <c r="AF1" s="7" t="s">
        <v>87</v>
      </c>
      <c r="AG1" s="10" t="s">
        <v>95</v>
      </c>
    </row>
    <row r="2" spans="1:33">
      <c r="A2" s="20" t="s">
        <v>27</v>
      </c>
      <c r="B2" s="21">
        <v>42774.5</v>
      </c>
      <c r="C2" s="84">
        <v>5</v>
      </c>
      <c r="D2" s="22">
        <v>0.3</v>
      </c>
      <c r="E2" s="22">
        <v>3320</v>
      </c>
      <c r="F2" s="22">
        <v>1760</v>
      </c>
      <c r="G2" s="22">
        <v>8.0399999999999991</v>
      </c>
      <c r="H2" s="22">
        <v>6.9</v>
      </c>
      <c r="I2" s="22">
        <v>3140</v>
      </c>
      <c r="J2" s="22">
        <v>4.92</v>
      </c>
      <c r="K2" s="22">
        <v>7.31</v>
      </c>
      <c r="L2" s="24">
        <f>0.5* 0.1</f>
        <v>0.05</v>
      </c>
      <c r="M2" s="22">
        <v>0.158</v>
      </c>
      <c r="N2" s="22">
        <v>1860</v>
      </c>
      <c r="O2" s="28">
        <f>Q2-P2</f>
        <v>0.4829</v>
      </c>
      <c r="P2" s="22">
        <v>2.01E-2</v>
      </c>
      <c r="Q2" s="22">
        <v>0.503</v>
      </c>
      <c r="R2" s="22">
        <v>92.1</v>
      </c>
      <c r="S2" s="24">
        <f>0.5* 0.0035</f>
        <v>1.75E-3</v>
      </c>
      <c r="T2" s="22">
        <v>2.7699999999999999E-2</v>
      </c>
      <c r="U2" s="24">
        <f>0.5* 0.000025</f>
        <v>1.2500000000000001E-5</v>
      </c>
      <c r="V2" s="24">
        <f>0.5* 0.0005</f>
        <v>2.5000000000000001E-4</v>
      </c>
      <c r="W2" s="24">
        <f>0.5* 0.00005</f>
        <v>2.5000000000000001E-5</v>
      </c>
      <c r="X2" s="24">
        <f>0.5* 0.000005</f>
        <v>2.5000000000000002E-6</v>
      </c>
      <c r="Y2" s="22">
        <v>1.4E-2</v>
      </c>
      <c r="Z2" s="22">
        <v>2.7999999999999998E-4</v>
      </c>
      <c r="AA2" s="24">
        <f>0.5* 0.000025</f>
        <v>1.2500000000000001E-5</v>
      </c>
      <c r="AB2" s="24">
        <f>0.5* 0.0025</f>
        <v>1.25E-3</v>
      </c>
      <c r="AC2" s="22">
        <v>8.2699999999999996E-3</v>
      </c>
      <c r="AD2" s="22">
        <v>1.42</v>
      </c>
      <c r="AE2" s="24">
        <f>0.5* 0.0005</f>
        <v>2.5000000000000001E-4</v>
      </c>
      <c r="AF2" s="22">
        <v>1.01E-2</v>
      </c>
      <c r="AG2" s="24">
        <f>0.5* 0.0025</f>
        <v>1.25E-3</v>
      </c>
    </row>
    <row r="3" spans="1:33">
      <c r="A3" s="20" t="s">
        <v>27</v>
      </c>
      <c r="B3" s="21">
        <v>42844.5</v>
      </c>
      <c r="C3" s="84">
        <v>12</v>
      </c>
      <c r="D3" s="22">
        <v>5.2</v>
      </c>
      <c r="E3" s="22">
        <v>3720</v>
      </c>
      <c r="F3" s="22">
        <v>2000</v>
      </c>
      <c r="G3" s="22">
        <v>7.96</v>
      </c>
      <c r="H3" s="22">
        <v>111</v>
      </c>
      <c r="I3" s="22">
        <v>3610</v>
      </c>
      <c r="J3" s="22">
        <v>124</v>
      </c>
      <c r="K3" s="22">
        <v>8.26</v>
      </c>
      <c r="L3" s="22">
        <v>0.67</v>
      </c>
      <c r="M3" s="22">
        <v>0.27800000000000002</v>
      </c>
      <c r="N3" s="22">
        <v>2230</v>
      </c>
      <c r="O3" s="28">
        <f t="shared" ref="O3:O5" si="0">Q3-P3</f>
        <v>0.49430000000000002</v>
      </c>
      <c r="P3" s="22">
        <v>1.2699999999999999E-2</v>
      </c>
      <c r="Q3" s="22">
        <v>0.50700000000000001</v>
      </c>
      <c r="R3" s="22">
        <v>51.2</v>
      </c>
      <c r="S3" s="22">
        <v>0.253</v>
      </c>
      <c r="T3" s="22">
        <v>1.55</v>
      </c>
      <c r="U3" s="22">
        <v>6.0999999999999999E-5</v>
      </c>
      <c r="V3" s="24">
        <f>0.5* 0.0025</f>
        <v>1.25E-3</v>
      </c>
      <c r="W3" s="22">
        <v>2.9999999999999997E-4</v>
      </c>
      <c r="X3" s="24">
        <f>0.5* 0.00025</f>
        <v>1.25E-4</v>
      </c>
      <c r="Y3" s="22">
        <v>1.38E-2</v>
      </c>
      <c r="Z3" s="22">
        <v>8.1999999999999998E-4</v>
      </c>
      <c r="AA3" s="24">
        <f>0.5* 0.00005</f>
        <v>2.5000000000000001E-5</v>
      </c>
      <c r="AB3" s="24">
        <f>0.5* 0.015</f>
        <v>7.4999999999999997E-3</v>
      </c>
      <c r="AC3" s="22">
        <v>1.47E-2</v>
      </c>
      <c r="AD3" s="22">
        <v>1.83</v>
      </c>
      <c r="AE3" s="24">
        <f>0.5* 0.001</f>
        <v>5.0000000000000001E-4</v>
      </c>
      <c r="AF3" s="24">
        <f>0.5* 0.05</f>
        <v>2.5000000000000001E-2</v>
      </c>
      <c r="AG3" s="24">
        <f>0.5* 0.005</f>
        <v>2.5000000000000001E-3</v>
      </c>
    </row>
    <row r="4" spans="1:33">
      <c r="A4" s="20" t="s">
        <v>27</v>
      </c>
      <c r="B4" s="21">
        <v>42935.5</v>
      </c>
      <c r="C4" s="84">
        <v>4.3062844455100002</v>
      </c>
      <c r="D4" s="22">
        <v>8.4</v>
      </c>
      <c r="E4" s="22">
        <v>3580</v>
      </c>
      <c r="F4" s="22">
        <v>1990</v>
      </c>
      <c r="G4" s="22">
        <v>7.98</v>
      </c>
      <c r="H4" s="22">
        <v>18.899999999999999</v>
      </c>
      <c r="I4" s="22">
        <v>3250</v>
      </c>
      <c r="J4" s="22">
        <v>42.4</v>
      </c>
      <c r="K4" s="22">
        <v>10.3</v>
      </c>
      <c r="L4" s="24">
        <f>0.5* 0.1</f>
        <v>0.05</v>
      </c>
      <c r="M4" s="24">
        <f>0.5* 0.02</f>
        <v>0.01</v>
      </c>
      <c r="N4" s="22">
        <v>2010</v>
      </c>
      <c r="O4" s="28">
        <f t="shared" si="0"/>
        <v>0.47460000000000002</v>
      </c>
      <c r="P4" s="22">
        <v>2.0400000000000001E-2</v>
      </c>
      <c r="Q4" s="22">
        <v>0.495</v>
      </c>
      <c r="R4" s="22">
        <v>104</v>
      </c>
      <c r="S4" s="24">
        <f>0.5* 0.006</f>
        <v>3.0000000000000001E-3</v>
      </c>
      <c r="T4" s="22">
        <v>0.20100000000000001</v>
      </c>
      <c r="U4" s="24">
        <f>0.5* 0.00001</f>
        <v>5.0000000000000004E-6</v>
      </c>
      <c r="V4" s="24">
        <f>0.5* 0.001</f>
        <v>5.0000000000000001E-4</v>
      </c>
      <c r="W4" s="24">
        <f>0.5* 0.0001</f>
        <v>5.0000000000000002E-5</v>
      </c>
      <c r="X4" s="24">
        <f>0.5* 0.000005</f>
        <v>2.5000000000000002E-6</v>
      </c>
      <c r="Y4" s="22">
        <v>1.17E-2</v>
      </c>
      <c r="Z4" s="22">
        <v>2.1000000000000001E-4</v>
      </c>
      <c r="AA4" s="24">
        <f>0.5* 0.00002</f>
        <v>1.0000000000000001E-5</v>
      </c>
      <c r="AB4" s="24">
        <f>0.5* 0.006</f>
        <v>3.0000000000000001E-3</v>
      </c>
      <c r="AC4" s="22">
        <v>3.39E-2</v>
      </c>
      <c r="AD4" s="22">
        <v>1.42</v>
      </c>
      <c r="AE4" s="24">
        <f>0.5* 0.0004</f>
        <v>2.0000000000000001E-4</v>
      </c>
      <c r="AF4" s="24">
        <f>0.5* 0.02</f>
        <v>0.01</v>
      </c>
      <c r="AG4" s="24">
        <f>0.5* 0.002</f>
        <v>1E-3</v>
      </c>
    </row>
    <row r="5" spans="1:33">
      <c r="A5" s="20" t="s">
        <v>27</v>
      </c>
      <c r="B5" s="21">
        <v>43026</v>
      </c>
      <c r="C5" s="84">
        <v>6.92276107063</v>
      </c>
      <c r="D5" s="22">
        <v>5.6</v>
      </c>
      <c r="E5" s="22">
        <v>3330</v>
      </c>
      <c r="F5" s="22">
        <v>1530</v>
      </c>
      <c r="G5" s="22">
        <v>8.15</v>
      </c>
      <c r="H5" s="22">
        <v>12.6</v>
      </c>
      <c r="I5" s="22">
        <v>3170</v>
      </c>
      <c r="J5" s="22">
        <v>37.6</v>
      </c>
      <c r="K5" s="22">
        <v>7.78</v>
      </c>
      <c r="L5" s="24">
        <f>0.5* 0.1</f>
        <v>0.05</v>
      </c>
      <c r="M5" s="22">
        <v>2.8000000000000001E-2</v>
      </c>
      <c r="N5" s="22">
        <v>1970</v>
      </c>
      <c r="O5" s="28">
        <f t="shared" si="0"/>
        <v>0.36960000000000004</v>
      </c>
      <c r="P5" s="22">
        <v>2.24E-2</v>
      </c>
      <c r="Q5" s="22">
        <v>0.39200000000000002</v>
      </c>
      <c r="R5" s="22">
        <v>106</v>
      </c>
      <c r="S5" s="22">
        <v>0.14799999999999999</v>
      </c>
      <c r="T5" s="22">
        <v>1.34</v>
      </c>
      <c r="U5" s="22">
        <v>1.8E-5</v>
      </c>
      <c r="V5" s="24">
        <f>0.5* 0.001</f>
        <v>5.0000000000000001E-4</v>
      </c>
      <c r="W5" s="22">
        <v>2.2000000000000001E-4</v>
      </c>
      <c r="X5" s="24">
        <f>0.5* 0.000025</f>
        <v>1.2500000000000001E-5</v>
      </c>
      <c r="Y5" s="22">
        <v>1.03E-2</v>
      </c>
      <c r="Z5" s="22">
        <v>4.0999999999999999E-4</v>
      </c>
      <c r="AA5" s="24">
        <f>0.5* 0.00002</f>
        <v>1.0000000000000001E-5</v>
      </c>
      <c r="AB5" s="24">
        <f>0.5* 0.006</f>
        <v>3.0000000000000001E-3</v>
      </c>
      <c r="AC5" s="22">
        <v>2.23E-2</v>
      </c>
      <c r="AD5" s="22">
        <v>1.39</v>
      </c>
      <c r="AE5" s="24">
        <f>0.5* 0.0004</f>
        <v>2.0000000000000001E-4</v>
      </c>
      <c r="AF5" s="22">
        <v>0.02</v>
      </c>
      <c r="AG5" s="24">
        <f>0.5* 0.002</f>
        <v>1E-3</v>
      </c>
    </row>
    <row r="6" spans="1:33">
      <c r="A6" s="14"/>
      <c r="B6" s="15" t="s">
        <v>100</v>
      </c>
      <c r="C6" s="16">
        <f t="shared" ref="C6:AG6" si="1">MIN(C2:C5)</f>
        <v>4.3062844455100002</v>
      </c>
      <c r="D6" s="29">
        <f t="shared" si="1"/>
        <v>0.3</v>
      </c>
      <c r="E6" s="16">
        <f t="shared" si="1"/>
        <v>3320</v>
      </c>
      <c r="F6" s="16">
        <f t="shared" si="1"/>
        <v>1530</v>
      </c>
      <c r="G6" s="30">
        <f t="shared" si="1"/>
        <v>7.96</v>
      </c>
      <c r="H6" s="29">
        <f t="shared" si="1"/>
        <v>6.9</v>
      </c>
      <c r="I6" s="16">
        <f t="shared" si="1"/>
        <v>3140</v>
      </c>
      <c r="J6" s="30">
        <f t="shared" si="1"/>
        <v>4.92</v>
      </c>
      <c r="K6" s="30">
        <f t="shared" si="1"/>
        <v>7.31</v>
      </c>
      <c r="L6" s="37">
        <f t="shared" si="1"/>
        <v>0.05</v>
      </c>
      <c r="M6" s="37">
        <f t="shared" si="1"/>
        <v>0.01</v>
      </c>
      <c r="N6" s="16">
        <f t="shared" si="1"/>
        <v>1860</v>
      </c>
      <c r="O6" s="64">
        <f t="shared" si="1"/>
        <v>0.36960000000000004</v>
      </c>
      <c r="P6" s="31">
        <f t="shared" si="1"/>
        <v>1.2699999999999999E-2</v>
      </c>
      <c r="Q6" s="37">
        <f t="shared" si="1"/>
        <v>0.39200000000000002</v>
      </c>
      <c r="R6" s="29">
        <f t="shared" si="1"/>
        <v>51.2</v>
      </c>
      <c r="S6" s="38">
        <f t="shared" si="1"/>
        <v>1.75E-3</v>
      </c>
      <c r="T6" s="31">
        <f t="shared" si="1"/>
        <v>2.7699999999999999E-2</v>
      </c>
      <c r="U6" s="40">
        <f t="shared" si="1"/>
        <v>5.0000000000000004E-6</v>
      </c>
      <c r="V6" s="38">
        <f t="shared" si="1"/>
        <v>2.5000000000000001E-4</v>
      </c>
      <c r="W6" s="39">
        <f t="shared" si="1"/>
        <v>2.5000000000000001E-5</v>
      </c>
      <c r="X6" s="40">
        <f t="shared" si="1"/>
        <v>2.5000000000000002E-6</v>
      </c>
      <c r="Y6" s="31">
        <f t="shared" si="1"/>
        <v>1.03E-2</v>
      </c>
      <c r="Z6" s="38">
        <f t="shared" si="1"/>
        <v>2.1000000000000001E-4</v>
      </c>
      <c r="AA6" s="40">
        <f t="shared" si="1"/>
        <v>1.0000000000000001E-5</v>
      </c>
      <c r="AB6" s="38">
        <f t="shared" si="1"/>
        <v>1.25E-3</v>
      </c>
      <c r="AC6" s="38">
        <f t="shared" si="1"/>
        <v>8.2699999999999996E-3</v>
      </c>
      <c r="AD6" s="30">
        <f t="shared" si="1"/>
        <v>1.39</v>
      </c>
      <c r="AE6" s="38">
        <f t="shared" si="1"/>
        <v>2.0000000000000001E-4</v>
      </c>
      <c r="AF6" s="31">
        <f t="shared" si="1"/>
        <v>0.01</v>
      </c>
      <c r="AG6" s="38">
        <f t="shared" si="1"/>
        <v>1E-3</v>
      </c>
    </row>
    <row r="7" spans="1:33">
      <c r="A7" s="14"/>
      <c r="B7" s="15" t="s">
        <v>101</v>
      </c>
      <c r="C7" s="16">
        <f t="shared" ref="C7:AG7" si="2">MAX(C2:C5)</f>
        <v>12</v>
      </c>
      <c r="D7" s="29">
        <f t="shared" si="2"/>
        <v>8.4</v>
      </c>
      <c r="E7" s="16">
        <f t="shared" si="2"/>
        <v>3720</v>
      </c>
      <c r="F7" s="16">
        <f t="shared" si="2"/>
        <v>2000</v>
      </c>
      <c r="G7" s="30">
        <f t="shared" si="2"/>
        <v>8.15</v>
      </c>
      <c r="H7" s="29">
        <f t="shared" si="2"/>
        <v>111</v>
      </c>
      <c r="I7" s="16">
        <f t="shared" si="2"/>
        <v>3610</v>
      </c>
      <c r="J7" s="30">
        <f t="shared" si="2"/>
        <v>124</v>
      </c>
      <c r="K7" s="30">
        <f t="shared" si="2"/>
        <v>10.3</v>
      </c>
      <c r="L7" s="37">
        <f t="shared" si="2"/>
        <v>0.67</v>
      </c>
      <c r="M7" s="37">
        <f t="shared" si="2"/>
        <v>0.27800000000000002</v>
      </c>
      <c r="N7" s="16">
        <f t="shared" si="2"/>
        <v>2230</v>
      </c>
      <c r="O7" s="64">
        <f t="shared" si="2"/>
        <v>0.49430000000000002</v>
      </c>
      <c r="P7" s="31">
        <f t="shared" si="2"/>
        <v>2.24E-2</v>
      </c>
      <c r="Q7" s="37">
        <f t="shared" si="2"/>
        <v>0.50700000000000001</v>
      </c>
      <c r="R7" s="29">
        <f t="shared" si="2"/>
        <v>106</v>
      </c>
      <c r="S7" s="38">
        <f t="shared" si="2"/>
        <v>0.253</v>
      </c>
      <c r="T7" s="31">
        <f t="shared" si="2"/>
        <v>1.55</v>
      </c>
      <c r="U7" s="40">
        <f t="shared" si="2"/>
        <v>6.0999999999999999E-5</v>
      </c>
      <c r="V7" s="38">
        <f t="shared" si="2"/>
        <v>1.25E-3</v>
      </c>
      <c r="W7" s="39">
        <f t="shared" si="2"/>
        <v>2.9999999999999997E-4</v>
      </c>
      <c r="X7" s="40">
        <f t="shared" si="2"/>
        <v>1.25E-4</v>
      </c>
      <c r="Y7" s="31">
        <f t="shared" si="2"/>
        <v>1.4E-2</v>
      </c>
      <c r="Z7" s="38">
        <f t="shared" si="2"/>
        <v>8.1999999999999998E-4</v>
      </c>
      <c r="AA7" s="40">
        <f t="shared" si="2"/>
        <v>2.5000000000000001E-5</v>
      </c>
      <c r="AB7" s="38">
        <f t="shared" si="2"/>
        <v>7.4999999999999997E-3</v>
      </c>
      <c r="AC7" s="38">
        <f t="shared" si="2"/>
        <v>3.39E-2</v>
      </c>
      <c r="AD7" s="30">
        <f t="shared" si="2"/>
        <v>1.83</v>
      </c>
      <c r="AE7" s="38">
        <f t="shared" si="2"/>
        <v>5.0000000000000001E-4</v>
      </c>
      <c r="AF7" s="31">
        <f t="shared" si="2"/>
        <v>2.5000000000000001E-2</v>
      </c>
      <c r="AG7" s="38">
        <f t="shared" si="2"/>
        <v>2.5000000000000001E-3</v>
      </c>
    </row>
    <row r="8" spans="1:33">
      <c r="A8" s="14"/>
      <c r="B8" s="15" t="s">
        <v>102</v>
      </c>
      <c r="C8" s="16">
        <f t="shared" ref="C8:AG8" si="3">AVERAGE(C2:C5)</f>
        <v>7.0572613790350003</v>
      </c>
      <c r="D8" s="29">
        <f t="shared" si="3"/>
        <v>4.875</v>
      </c>
      <c r="E8" s="16">
        <f t="shared" si="3"/>
        <v>3487.5</v>
      </c>
      <c r="F8" s="16">
        <f t="shared" si="3"/>
        <v>1820</v>
      </c>
      <c r="G8" s="30">
        <f t="shared" si="3"/>
        <v>8.0325000000000006</v>
      </c>
      <c r="H8" s="29">
        <f t="shared" si="3"/>
        <v>37.35</v>
      </c>
      <c r="I8" s="16">
        <f t="shared" si="3"/>
        <v>3292.5</v>
      </c>
      <c r="J8" s="30">
        <f t="shared" si="3"/>
        <v>52.23</v>
      </c>
      <c r="K8" s="30">
        <f t="shared" si="3"/>
        <v>8.4124999999999996</v>
      </c>
      <c r="L8" s="37">
        <f t="shared" si="3"/>
        <v>0.20500000000000004</v>
      </c>
      <c r="M8" s="37">
        <f t="shared" si="3"/>
        <v>0.11850000000000002</v>
      </c>
      <c r="N8" s="16">
        <f t="shared" si="3"/>
        <v>2017.5</v>
      </c>
      <c r="O8" s="64">
        <f t="shared" si="3"/>
        <v>0.45535000000000003</v>
      </c>
      <c r="P8" s="31">
        <f t="shared" si="3"/>
        <v>1.89E-2</v>
      </c>
      <c r="Q8" s="37">
        <f t="shared" si="3"/>
        <v>0.47424999999999995</v>
      </c>
      <c r="R8" s="29">
        <f t="shared" si="3"/>
        <v>88.325000000000003</v>
      </c>
      <c r="S8" s="38">
        <f t="shared" si="3"/>
        <v>0.10143749999999999</v>
      </c>
      <c r="T8" s="31">
        <f t="shared" si="3"/>
        <v>0.77967500000000012</v>
      </c>
      <c r="U8" s="40">
        <f t="shared" si="3"/>
        <v>2.4125E-5</v>
      </c>
      <c r="V8" s="38">
        <f t="shared" si="3"/>
        <v>6.2500000000000001E-4</v>
      </c>
      <c r="W8" s="39">
        <f t="shared" si="3"/>
        <v>1.4875000000000001E-4</v>
      </c>
      <c r="X8" s="40">
        <f t="shared" si="3"/>
        <v>3.5625000000000005E-5</v>
      </c>
      <c r="Y8" s="31">
        <f t="shared" si="3"/>
        <v>1.2449999999999999E-2</v>
      </c>
      <c r="Z8" s="38">
        <f t="shared" si="3"/>
        <v>4.2999999999999999E-4</v>
      </c>
      <c r="AA8" s="40">
        <f t="shared" si="3"/>
        <v>1.4375E-5</v>
      </c>
      <c r="AB8" s="38">
        <f t="shared" si="3"/>
        <v>3.6874999999999998E-3</v>
      </c>
      <c r="AC8" s="38">
        <f t="shared" si="3"/>
        <v>1.9792499999999998E-2</v>
      </c>
      <c r="AD8" s="30">
        <f t="shared" si="3"/>
        <v>1.5149999999999999</v>
      </c>
      <c r="AE8" s="38">
        <f t="shared" si="3"/>
        <v>2.875E-4</v>
      </c>
      <c r="AF8" s="31">
        <f t="shared" si="3"/>
        <v>1.6275000000000001E-2</v>
      </c>
      <c r="AG8" s="38">
        <f t="shared" si="3"/>
        <v>1.4375E-3</v>
      </c>
    </row>
    <row r="9" spans="1:33">
      <c r="A9" s="14"/>
      <c r="B9" s="15" t="s">
        <v>103</v>
      </c>
      <c r="C9" s="16">
        <f t="shared" ref="C9:AG9" si="4">_xlfn.STDEV.P(C2:C5)</f>
        <v>3.0103552065576751</v>
      </c>
      <c r="D9" s="29">
        <f t="shared" si="4"/>
        <v>2.9149399650764671</v>
      </c>
      <c r="E9" s="16">
        <f t="shared" si="4"/>
        <v>169.90806337546198</v>
      </c>
      <c r="F9" s="16">
        <f t="shared" si="4"/>
        <v>193.00259065618783</v>
      </c>
      <c r="G9" s="30">
        <f t="shared" si="4"/>
        <v>7.3950997288745254E-2</v>
      </c>
      <c r="H9" s="29">
        <f t="shared" si="4"/>
        <v>42.733154575809166</v>
      </c>
      <c r="I9" s="16">
        <f t="shared" si="4"/>
        <v>187.66659265836316</v>
      </c>
      <c r="J9" s="30">
        <f t="shared" si="4"/>
        <v>43.874351277255371</v>
      </c>
      <c r="K9" s="30">
        <f t="shared" si="4"/>
        <v>1.140337121205832</v>
      </c>
      <c r="L9" s="37">
        <f t="shared" si="4"/>
        <v>0.268467875173176</v>
      </c>
      <c r="M9" s="37">
        <f t="shared" si="4"/>
        <v>0.10835474147447358</v>
      </c>
      <c r="N9" s="16">
        <f t="shared" si="4"/>
        <v>134.42005058770064</v>
      </c>
      <c r="O9" s="64">
        <f t="shared" si="4"/>
        <v>4.9999324995443649E-2</v>
      </c>
      <c r="P9" s="31">
        <f t="shared" si="4"/>
        <v>3.6871398129173249E-3</v>
      </c>
      <c r="Q9" s="37">
        <f t="shared" si="4"/>
        <v>4.768319934735963E-2</v>
      </c>
      <c r="R9" s="29">
        <f t="shared" si="4"/>
        <v>22.082954399264576</v>
      </c>
      <c r="S9" s="38">
        <f t="shared" si="4"/>
        <v>0.10579082766832859</v>
      </c>
      <c r="T9" s="31">
        <f t="shared" si="4"/>
        <v>0.67225290395430792</v>
      </c>
      <c r="U9" s="40">
        <f t="shared" si="4"/>
        <v>2.1784096836912932E-5</v>
      </c>
      <c r="V9" s="38">
        <f t="shared" si="4"/>
        <v>3.7499999999999995E-4</v>
      </c>
      <c r="W9" s="39">
        <f t="shared" si="4"/>
        <v>1.1512900373059778E-4</v>
      </c>
      <c r="X9" s="40">
        <f t="shared" si="4"/>
        <v>5.17619249545455E-5</v>
      </c>
      <c r="Y9" s="31">
        <f t="shared" si="4"/>
        <v>1.5337861650177966E-3</v>
      </c>
      <c r="Z9" s="38">
        <f t="shared" si="4"/>
        <v>2.3632604596192947E-4</v>
      </c>
      <c r="AA9" s="40">
        <f t="shared" si="4"/>
        <v>6.2186714819163749E-6</v>
      </c>
      <c r="AB9" s="38">
        <f t="shared" si="4"/>
        <v>2.3141885726967021E-3</v>
      </c>
      <c r="AC9" s="38">
        <f t="shared" si="4"/>
        <v>9.5395318936518109E-3</v>
      </c>
      <c r="AD9" s="30">
        <f t="shared" si="4"/>
        <v>0.18227726133558261</v>
      </c>
      <c r="AE9" s="38">
        <f t="shared" si="4"/>
        <v>1.2437342963832749E-4</v>
      </c>
      <c r="AF9" s="31">
        <f t="shared" si="4"/>
        <v>6.4712344262899341E-3</v>
      </c>
      <c r="AG9" s="38">
        <f t="shared" si="4"/>
        <v>6.2186714819163747E-4</v>
      </c>
    </row>
    <row r="10" spans="1:33" ht="12.75" customHeight="1">
      <c r="A10" s="17"/>
      <c r="B10" s="131" t="s">
        <v>112</v>
      </c>
      <c r="C10" s="130"/>
      <c r="D10" s="130"/>
      <c r="E10" s="130"/>
      <c r="F10" s="130"/>
      <c r="G10" s="130"/>
      <c r="H10" s="130"/>
      <c r="I10" s="130"/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0"/>
      <c r="AF10" s="130"/>
      <c r="AG10" s="130"/>
    </row>
    <row r="11" spans="1:33" ht="12.75" customHeight="1">
      <c r="A11" s="17"/>
      <c r="B11" s="130" t="s">
        <v>117</v>
      </c>
      <c r="C11" s="130"/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</row>
    <row r="12" spans="1:33" ht="12.75" customHeight="1">
      <c r="A12" s="17"/>
      <c r="B12" s="130" t="s">
        <v>114</v>
      </c>
      <c r="C12" s="130"/>
      <c r="D12" s="130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</row>
    <row r="13" spans="1:33" ht="12.75" customHeight="1">
      <c r="A13" s="17"/>
      <c r="B13" s="130" t="s">
        <v>108</v>
      </c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</row>
    <row r="14" spans="1:33" ht="12.75" customHeight="1">
      <c r="A14" s="18"/>
      <c r="B14" s="130" t="s">
        <v>115</v>
      </c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</row>
    <row r="15" spans="1:33" ht="12.75" customHeight="1"/>
  </sheetData>
  <mergeCells count="5">
    <mergeCell ref="B14:AG14"/>
    <mergeCell ref="B10:AG10"/>
    <mergeCell ref="B11:AG11"/>
    <mergeCell ref="B12:AG12"/>
    <mergeCell ref="B13:AG13"/>
  </mergeCells>
  <printOptions horizontalCentered="1"/>
  <pageMargins left="0.25" right="0.25" top="1.0833333333333299" bottom="0.75" header="0.3" footer="0.3"/>
  <pageSetup orientation="landscape" r:id="rId1"/>
  <headerFooter alignWithMargins="0">
    <oddHeader>&amp;LBarrick Gold Inc. - Nickel Plate Mine&amp;C&amp;"-,Regular"&amp;18
Table 33 - RT-WEST (E215956) Data&amp;RAnnual Report, 2017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T24"/>
  <sheetViews>
    <sheetView zoomScaleNormal="100" workbookViewId="0">
      <pane xSplit="1" ySplit="1" topLeftCell="B13" activePane="bottomRight" state="frozen"/>
      <selection activeCell="B33" sqref="B33"/>
      <selection pane="topRight" activeCell="B33" sqref="B33"/>
      <selection pane="bottomLeft" activeCell="B33" sqref="B33"/>
      <selection pane="bottomRight" activeCell="B33" sqref="B33"/>
    </sheetView>
  </sheetViews>
  <sheetFormatPr defaultColWidth="9.1328125" defaultRowHeight="15.75"/>
  <cols>
    <col min="1" max="1" width="8.1328125" style="19" bestFit="1" customWidth="1"/>
    <col min="2" max="2" width="11" style="23" bestFit="1" customWidth="1"/>
    <col min="3" max="3" width="5.265625" style="19" bestFit="1" customWidth="1"/>
    <col min="4" max="4" width="6.73046875" style="19" bestFit="1" customWidth="1"/>
    <col min="5" max="5" width="5.59765625" style="19" bestFit="1" customWidth="1"/>
    <col min="6" max="6" width="5.73046875" style="19" bestFit="1" customWidth="1"/>
    <col min="7" max="7" width="4.73046875" style="19" bestFit="1" customWidth="1"/>
    <col min="8" max="8" width="5.1328125" style="19" bestFit="1" customWidth="1"/>
    <col min="9" max="9" width="5.73046875" style="19" bestFit="1" customWidth="1"/>
    <col min="10" max="10" width="8.1328125" style="19" bestFit="1" customWidth="1"/>
    <col min="11" max="12" width="6.86328125" style="19" bestFit="1" customWidth="1"/>
    <col min="13" max="13" width="6.86328125" style="74" bestFit="1" customWidth="1"/>
    <col min="14" max="15" width="8.1328125" style="19" bestFit="1" customWidth="1"/>
    <col min="16" max="16" width="5.86328125" style="19" bestFit="1" customWidth="1"/>
    <col min="17" max="17" width="9.1328125" style="19" bestFit="1" customWidth="1"/>
    <col min="18" max="18" width="11.265625" style="19" bestFit="1" customWidth="1"/>
    <col min="19" max="19" width="9.1328125" style="19" bestFit="1" customWidth="1"/>
    <col min="20" max="20" width="9.265625" style="19" bestFit="1" customWidth="1"/>
    <col min="21" max="16384" width="9.1328125" style="19"/>
  </cols>
  <sheetData>
    <row r="1" spans="1:20" ht="132">
      <c r="A1" s="1" t="s">
        <v>45</v>
      </c>
      <c r="B1" s="2" t="s">
        <v>46</v>
      </c>
      <c r="C1" s="5" t="s">
        <v>50</v>
      </c>
      <c r="D1" s="5" t="s">
        <v>51</v>
      </c>
      <c r="E1" s="71" t="s">
        <v>0</v>
      </c>
      <c r="F1" s="4" t="s">
        <v>52</v>
      </c>
      <c r="G1" s="71" t="s">
        <v>53</v>
      </c>
      <c r="H1" s="71" t="s">
        <v>54</v>
      </c>
      <c r="I1" s="5" t="s">
        <v>55</v>
      </c>
      <c r="J1" s="5" t="s">
        <v>56</v>
      </c>
      <c r="K1" s="7" t="s">
        <v>57</v>
      </c>
      <c r="L1" s="5" t="s">
        <v>59</v>
      </c>
      <c r="M1" s="73" t="s">
        <v>105</v>
      </c>
      <c r="N1" s="7" t="s">
        <v>60</v>
      </c>
      <c r="O1" s="7" t="s">
        <v>61</v>
      </c>
      <c r="P1" s="4" t="s">
        <v>62</v>
      </c>
      <c r="Q1" s="10" t="s">
        <v>82</v>
      </c>
      <c r="R1" s="9" t="s">
        <v>85</v>
      </c>
      <c r="S1" s="10" t="s">
        <v>86</v>
      </c>
      <c r="T1" s="10" t="s">
        <v>95</v>
      </c>
    </row>
    <row r="2" spans="1:20">
      <c r="A2" s="20" t="s">
        <v>21</v>
      </c>
      <c r="B2" s="21">
        <v>42740.5</v>
      </c>
      <c r="C2" s="22">
        <v>-0.7</v>
      </c>
      <c r="D2" s="22">
        <v>202</v>
      </c>
      <c r="E2" s="22">
        <v>92.8</v>
      </c>
      <c r="F2" s="22">
        <v>7.88</v>
      </c>
      <c r="G2" s="25" t="s">
        <v>96</v>
      </c>
      <c r="H2" s="22">
        <v>145</v>
      </c>
      <c r="I2" s="22">
        <v>0.13</v>
      </c>
      <c r="J2" s="24">
        <f t="shared" ref="J2:J14" si="0">0.5* 0.005</f>
        <v>2.5000000000000001E-3</v>
      </c>
      <c r="K2" s="22">
        <v>0.26400000000000001</v>
      </c>
      <c r="L2" s="22">
        <v>31.7</v>
      </c>
      <c r="M2" s="72">
        <f>O2-N2</f>
        <v>0</v>
      </c>
      <c r="N2" s="24">
        <f t="shared" ref="N2:O9" si="1">0.5* 0.005</f>
        <v>2.5000000000000001E-3</v>
      </c>
      <c r="O2" s="24">
        <f t="shared" si="1"/>
        <v>2.5000000000000001E-3</v>
      </c>
      <c r="P2" s="24">
        <f t="shared" ref="P2:P14" si="2">0.5* 0.5</f>
        <v>0.25</v>
      </c>
      <c r="Q2" s="22">
        <v>2.5899999999999999E-2</v>
      </c>
      <c r="R2" s="22">
        <v>7.9900000000000004E-5</v>
      </c>
      <c r="S2" s="22">
        <v>4.6999999999999999E-4</v>
      </c>
      <c r="T2" s="24">
        <f>0.5* 0.0005</f>
        <v>2.5000000000000001E-4</v>
      </c>
    </row>
    <row r="3" spans="1:20">
      <c r="A3" s="20" t="s">
        <v>21</v>
      </c>
      <c r="B3" s="21">
        <v>42774.5</v>
      </c>
      <c r="C3" s="22">
        <v>-0.5</v>
      </c>
      <c r="D3" s="22">
        <v>277</v>
      </c>
      <c r="E3" s="22">
        <v>141</v>
      </c>
      <c r="F3" s="22">
        <v>8.0299999999999994</v>
      </c>
      <c r="G3" s="24">
        <f>0.5* 3</f>
        <v>1.5</v>
      </c>
      <c r="H3" s="22">
        <v>213</v>
      </c>
      <c r="I3" s="22">
        <v>0.22</v>
      </c>
      <c r="J3" s="24">
        <f t="shared" si="0"/>
        <v>2.5000000000000001E-3</v>
      </c>
      <c r="K3" s="22">
        <v>0.44600000000000001</v>
      </c>
      <c r="L3" s="22">
        <v>65.2</v>
      </c>
      <c r="M3" s="72">
        <f t="shared" ref="M3:M14" si="3">O3-N3</f>
        <v>0</v>
      </c>
      <c r="N3" s="24">
        <f t="shared" si="1"/>
        <v>2.5000000000000001E-3</v>
      </c>
      <c r="O3" s="24">
        <f t="shared" si="1"/>
        <v>2.5000000000000001E-3</v>
      </c>
      <c r="P3" s="24">
        <f t="shared" si="2"/>
        <v>0.25</v>
      </c>
      <c r="Q3" s="22">
        <v>2.3599999999999999E-2</v>
      </c>
      <c r="R3" s="22">
        <v>4.8999999999999998E-4</v>
      </c>
      <c r="S3" s="22">
        <v>1.07E-3</v>
      </c>
      <c r="T3" s="22">
        <v>1.14E-3</v>
      </c>
    </row>
    <row r="4" spans="1:20">
      <c r="A4" s="20" t="s">
        <v>21</v>
      </c>
      <c r="B4" s="21">
        <v>42801.5</v>
      </c>
      <c r="C4" s="22">
        <v>-0.5</v>
      </c>
      <c r="D4" s="22">
        <v>268</v>
      </c>
      <c r="E4" s="22">
        <v>141</v>
      </c>
      <c r="F4" s="22">
        <v>7.96</v>
      </c>
      <c r="G4" s="25" t="s">
        <v>96</v>
      </c>
      <c r="H4" s="22">
        <v>189</v>
      </c>
      <c r="I4" s="22">
        <v>0.17</v>
      </c>
      <c r="J4" s="24">
        <f t="shared" si="0"/>
        <v>2.5000000000000001E-3</v>
      </c>
      <c r="K4" s="22">
        <v>0.432</v>
      </c>
      <c r="L4" s="22">
        <v>61.3</v>
      </c>
      <c r="M4" s="72">
        <f t="shared" si="3"/>
        <v>0</v>
      </c>
      <c r="N4" s="24">
        <f t="shared" si="1"/>
        <v>2.5000000000000001E-3</v>
      </c>
      <c r="O4" s="24">
        <f t="shared" si="1"/>
        <v>2.5000000000000001E-3</v>
      </c>
      <c r="P4" s="24">
        <f t="shared" si="2"/>
        <v>0.25</v>
      </c>
      <c r="Q4" s="22">
        <v>2.35E-2</v>
      </c>
      <c r="R4" s="22">
        <v>4.4000000000000002E-4</v>
      </c>
      <c r="S4" s="22">
        <v>4.2000000000000002E-4</v>
      </c>
      <c r="T4" s="24">
        <f>0.5* 0.001</f>
        <v>5.0000000000000001E-4</v>
      </c>
    </row>
    <row r="5" spans="1:20">
      <c r="A5" s="20" t="s">
        <v>21</v>
      </c>
      <c r="B5" s="21">
        <v>42851.5</v>
      </c>
      <c r="C5" s="22">
        <v>1</v>
      </c>
      <c r="D5" s="22">
        <v>267</v>
      </c>
      <c r="E5" s="22">
        <v>127</v>
      </c>
      <c r="F5" s="22">
        <v>8.17</v>
      </c>
      <c r="G5" s="24">
        <f>0.5* 3</f>
        <v>1.5</v>
      </c>
      <c r="H5" s="22">
        <v>192</v>
      </c>
      <c r="I5" s="22">
        <v>0.18</v>
      </c>
      <c r="J5" s="24">
        <f t="shared" si="0"/>
        <v>2.5000000000000001E-3</v>
      </c>
      <c r="K5" s="22">
        <v>0.33400000000000002</v>
      </c>
      <c r="L5" s="22">
        <v>46.9</v>
      </c>
      <c r="M5" s="72">
        <f t="shared" si="3"/>
        <v>0</v>
      </c>
      <c r="N5" s="24">
        <f t="shared" si="1"/>
        <v>2.5000000000000001E-3</v>
      </c>
      <c r="O5" s="24">
        <f t="shared" si="1"/>
        <v>2.5000000000000001E-3</v>
      </c>
      <c r="P5" s="24">
        <f t="shared" si="2"/>
        <v>0.25</v>
      </c>
      <c r="Q5" s="22">
        <v>2.5100000000000001E-2</v>
      </c>
      <c r="R5" s="22">
        <v>2.5000000000000001E-4</v>
      </c>
      <c r="S5" s="22">
        <v>6.2E-4</v>
      </c>
      <c r="T5" s="24">
        <f>0.5* 0.001</f>
        <v>5.0000000000000001E-4</v>
      </c>
    </row>
    <row r="6" spans="1:20">
      <c r="A6" s="20" t="s">
        <v>21</v>
      </c>
      <c r="B6" s="21">
        <v>42879</v>
      </c>
      <c r="C6" s="22">
        <v>4.9000000000000004</v>
      </c>
      <c r="D6" s="22">
        <v>261</v>
      </c>
      <c r="E6" s="22">
        <v>115</v>
      </c>
      <c r="F6" s="22">
        <v>7.88</v>
      </c>
      <c r="G6" s="25" t="s">
        <v>96</v>
      </c>
      <c r="H6" s="22">
        <v>188</v>
      </c>
      <c r="I6" s="22">
        <v>1.01</v>
      </c>
      <c r="J6" s="24">
        <f t="shared" si="0"/>
        <v>2.5000000000000001E-3</v>
      </c>
      <c r="K6" s="22">
        <v>0.65500000000000003</v>
      </c>
      <c r="L6" s="22">
        <v>73.5</v>
      </c>
      <c r="M6" s="72">
        <f t="shared" si="3"/>
        <v>0</v>
      </c>
      <c r="N6" s="24">
        <f t="shared" si="1"/>
        <v>2.5000000000000001E-3</v>
      </c>
      <c r="O6" s="24">
        <f t="shared" si="1"/>
        <v>2.5000000000000001E-3</v>
      </c>
      <c r="P6" s="24">
        <f t="shared" si="2"/>
        <v>0.25</v>
      </c>
      <c r="Q6" s="22">
        <v>3.0700000000000002E-2</v>
      </c>
      <c r="R6" s="22">
        <v>1.4999999999999999E-4</v>
      </c>
      <c r="S6" s="22">
        <v>1.06E-3</v>
      </c>
      <c r="T6" s="24">
        <f>0.5* 0.001</f>
        <v>5.0000000000000001E-4</v>
      </c>
    </row>
    <row r="7" spans="1:20">
      <c r="A7" s="20" t="s">
        <v>21</v>
      </c>
      <c r="B7" s="21">
        <v>42907.5</v>
      </c>
      <c r="C7" s="22">
        <v>7.5</v>
      </c>
      <c r="D7" s="22">
        <v>259</v>
      </c>
      <c r="E7" s="22">
        <v>117</v>
      </c>
      <c r="F7" s="22">
        <v>8.0299999999999994</v>
      </c>
      <c r="G7" s="25" t="s">
        <v>96</v>
      </c>
      <c r="H7" s="22">
        <v>197</v>
      </c>
      <c r="I7" s="22">
        <v>0.28000000000000003</v>
      </c>
      <c r="J7" s="24">
        <f t="shared" si="0"/>
        <v>2.5000000000000001E-3</v>
      </c>
      <c r="K7" s="22">
        <v>0.44700000000000001</v>
      </c>
      <c r="L7" s="22">
        <v>70</v>
      </c>
      <c r="M7" s="72">
        <f t="shared" si="3"/>
        <v>0</v>
      </c>
      <c r="N7" s="24">
        <f t="shared" si="1"/>
        <v>2.5000000000000001E-3</v>
      </c>
      <c r="O7" s="24">
        <f t="shared" si="1"/>
        <v>2.5000000000000001E-3</v>
      </c>
      <c r="P7" s="24">
        <f t="shared" si="2"/>
        <v>0.25</v>
      </c>
      <c r="Q7" s="22">
        <v>2.76E-2</v>
      </c>
      <c r="R7" s="22">
        <v>2.3000000000000001E-4</v>
      </c>
      <c r="S7" s="22">
        <v>7.2999999999999996E-4</v>
      </c>
      <c r="T7" s="24">
        <f>0.5* 0.001</f>
        <v>5.0000000000000001E-4</v>
      </c>
    </row>
    <row r="8" spans="1:20">
      <c r="A8" s="20" t="s">
        <v>21</v>
      </c>
      <c r="B8" s="21">
        <v>42942.5</v>
      </c>
      <c r="C8" s="22">
        <v>9.1</v>
      </c>
      <c r="D8" s="22">
        <v>208</v>
      </c>
      <c r="E8" s="22">
        <v>103</v>
      </c>
      <c r="F8" s="22">
        <v>8.07</v>
      </c>
      <c r="G8" s="24">
        <f>0.5* 3</f>
        <v>1.5</v>
      </c>
      <c r="H8" s="22">
        <v>158</v>
      </c>
      <c r="I8" s="22">
        <v>0.23</v>
      </c>
      <c r="J8" s="24">
        <f t="shared" si="0"/>
        <v>2.5000000000000001E-3</v>
      </c>
      <c r="K8" s="22">
        <v>0.159</v>
      </c>
      <c r="L8" s="22">
        <v>36.200000000000003</v>
      </c>
      <c r="M8" s="72">
        <f t="shared" si="3"/>
        <v>0</v>
      </c>
      <c r="N8" s="24">
        <f t="shared" si="1"/>
        <v>2.5000000000000001E-3</v>
      </c>
      <c r="O8" s="24">
        <f t="shared" si="1"/>
        <v>2.5000000000000001E-3</v>
      </c>
      <c r="P8" s="24">
        <f t="shared" si="2"/>
        <v>0.25</v>
      </c>
      <c r="Q8" s="22">
        <v>3.2300000000000002E-2</v>
      </c>
      <c r="R8" s="24">
        <f>0.5* 0.0001</f>
        <v>5.0000000000000002E-5</v>
      </c>
      <c r="S8" s="22">
        <v>6.0999999999999997E-4</v>
      </c>
      <c r="T8" s="24">
        <f>0.5* 0.001</f>
        <v>5.0000000000000001E-4</v>
      </c>
    </row>
    <row r="9" spans="1:20">
      <c r="A9" s="20" t="s">
        <v>21</v>
      </c>
      <c r="B9" s="21">
        <v>42970.5</v>
      </c>
      <c r="C9" s="22">
        <v>9.8000000000000007</v>
      </c>
      <c r="D9" s="22">
        <v>290</v>
      </c>
      <c r="E9" s="22">
        <v>136</v>
      </c>
      <c r="F9" s="22">
        <v>8.16</v>
      </c>
      <c r="G9" s="25" t="s">
        <v>96</v>
      </c>
      <c r="H9" s="22">
        <v>209</v>
      </c>
      <c r="I9" s="22">
        <v>0.34</v>
      </c>
      <c r="J9" s="24">
        <f t="shared" si="0"/>
        <v>2.5000000000000001E-3</v>
      </c>
      <c r="K9" s="22">
        <v>0.24299999999999999</v>
      </c>
      <c r="L9" s="22">
        <v>62.2</v>
      </c>
      <c r="M9" s="72">
        <f t="shared" si="3"/>
        <v>0</v>
      </c>
      <c r="N9" s="24">
        <f t="shared" si="1"/>
        <v>2.5000000000000001E-3</v>
      </c>
      <c r="O9" s="24">
        <f t="shared" si="1"/>
        <v>2.5000000000000001E-3</v>
      </c>
      <c r="P9" s="24">
        <f t="shared" si="2"/>
        <v>0.25</v>
      </c>
      <c r="Q9" s="22">
        <v>3.1099999999999999E-2</v>
      </c>
      <c r="R9" s="22">
        <v>1.3999999999999999E-4</v>
      </c>
      <c r="S9" s="22">
        <v>5.5999999999999995E-4</v>
      </c>
      <c r="T9" s="22">
        <v>1.1000000000000001E-3</v>
      </c>
    </row>
    <row r="10" spans="1:20">
      <c r="A10" s="20" t="s">
        <v>21</v>
      </c>
      <c r="B10" s="21">
        <v>43003.573611111111</v>
      </c>
      <c r="C10" s="25" t="s">
        <v>96</v>
      </c>
      <c r="D10" s="22">
        <v>257</v>
      </c>
      <c r="E10" s="22">
        <v>130</v>
      </c>
      <c r="F10" s="22">
        <v>8.08</v>
      </c>
      <c r="G10" s="24">
        <f>0.5* 3</f>
        <v>1.5</v>
      </c>
      <c r="H10" s="22">
        <v>190</v>
      </c>
      <c r="I10" s="22">
        <v>0.25</v>
      </c>
      <c r="J10" s="24">
        <f t="shared" si="0"/>
        <v>2.5000000000000001E-3</v>
      </c>
      <c r="K10" s="22">
        <v>0.16600000000000001</v>
      </c>
      <c r="L10" s="22">
        <v>59.3</v>
      </c>
      <c r="M10" s="72">
        <f t="shared" si="3"/>
        <v>-2E-3</v>
      </c>
      <c r="N10" s="24">
        <f>0.5* 0.005</f>
        <v>2.5000000000000001E-3</v>
      </c>
      <c r="O10" s="24">
        <f>0.5* 0.001</f>
        <v>5.0000000000000001E-4</v>
      </c>
      <c r="P10" s="24">
        <f t="shared" si="2"/>
        <v>0.25</v>
      </c>
      <c r="Q10" s="22">
        <v>2.9499999999999998E-2</v>
      </c>
      <c r="R10" s="22">
        <v>1E-4</v>
      </c>
      <c r="S10" s="22">
        <v>5.0000000000000001E-4</v>
      </c>
      <c r="T10" s="24">
        <f>0.5* 0.001</f>
        <v>5.0000000000000001E-4</v>
      </c>
    </row>
    <row r="11" spans="1:20">
      <c r="A11" s="20"/>
      <c r="B11" s="93">
        <v>43005</v>
      </c>
      <c r="C11" s="22">
        <v>6.3</v>
      </c>
      <c r="D11" s="25" t="s">
        <v>96</v>
      </c>
      <c r="E11" s="25" t="s">
        <v>96</v>
      </c>
      <c r="F11" s="25" t="s">
        <v>96</v>
      </c>
      <c r="G11" s="25" t="s">
        <v>96</v>
      </c>
      <c r="H11" s="25" t="s">
        <v>96</v>
      </c>
      <c r="I11" s="25" t="s">
        <v>96</v>
      </c>
      <c r="J11" s="25" t="s">
        <v>96</v>
      </c>
      <c r="K11" s="25" t="s">
        <v>96</v>
      </c>
      <c r="L11" s="25" t="s">
        <v>96</v>
      </c>
      <c r="M11" s="25" t="s">
        <v>96</v>
      </c>
      <c r="N11" s="25" t="s">
        <v>96</v>
      </c>
      <c r="O11" s="25" t="s">
        <v>96</v>
      </c>
      <c r="P11" s="25" t="s">
        <v>96</v>
      </c>
      <c r="Q11" s="25" t="s">
        <v>96</v>
      </c>
      <c r="R11" s="25" t="s">
        <v>96</v>
      </c>
      <c r="S11" s="25" t="s">
        <v>96</v>
      </c>
      <c r="T11" s="25" t="s">
        <v>96</v>
      </c>
    </row>
    <row r="12" spans="1:20">
      <c r="A12" s="20" t="s">
        <v>21</v>
      </c>
      <c r="B12" s="21">
        <v>43033</v>
      </c>
      <c r="C12" s="22">
        <v>3.4</v>
      </c>
      <c r="D12" s="22">
        <v>581</v>
      </c>
      <c r="E12" s="22">
        <v>315</v>
      </c>
      <c r="F12" s="22">
        <v>8.14</v>
      </c>
      <c r="G12" s="22">
        <v>4.5</v>
      </c>
      <c r="H12" s="22">
        <v>412</v>
      </c>
      <c r="I12" s="22">
        <v>0.14000000000000001</v>
      </c>
      <c r="J12" s="24">
        <f t="shared" si="0"/>
        <v>2.5000000000000001E-3</v>
      </c>
      <c r="K12" s="22">
        <v>0.96099999999999997</v>
      </c>
      <c r="L12" s="22">
        <v>200</v>
      </c>
      <c r="M12" s="72">
        <f t="shared" si="3"/>
        <v>0</v>
      </c>
      <c r="N12" s="24">
        <f t="shared" ref="N12:O14" si="4">0.5* 0.005</f>
        <v>2.5000000000000001E-3</v>
      </c>
      <c r="O12" s="24">
        <f t="shared" si="4"/>
        <v>2.5000000000000001E-3</v>
      </c>
      <c r="P12" s="24">
        <f t="shared" si="2"/>
        <v>0.25</v>
      </c>
      <c r="Q12" s="22">
        <v>2.2499999999999999E-2</v>
      </c>
      <c r="R12" s="22">
        <v>1.6100000000000001E-3</v>
      </c>
      <c r="S12" s="22">
        <v>5.1999999999999995E-4</v>
      </c>
      <c r="T12" s="24">
        <f>0.5* 0.001</f>
        <v>5.0000000000000001E-4</v>
      </c>
    </row>
    <row r="13" spans="1:20">
      <c r="A13" s="20" t="s">
        <v>21</v>
      </c>
      <c r="B13" s="21">
        <v>43061</v>
      </c>
      <c r="C13" s="22">
        <v>1.3</v>
      </c>
      <c r="D13" s="22">
        <v>603</v>
      </c>
      <c r="E13" s="22">
        <v>344</v>
      </c>
      <c r="F13" s="22">
        <v>8.14</v>
      </c>
      <c r="G13" s="25" t="s">
        <v>96</v>
      </c>
      <c r="H13" s="22">
        <v>469</v>
      </c>
      <c r="I13" s="22">
        <v>0.12</v>
      </c>
      <c r="J13" s="24">
        <f t="shared" si="0"/>
        <v>2.5000000000000001E-3</v>
      </c>
      <c r="K13" s="22">
        <v>1.18</v>
      </c>
      <c r="L13" s="22">
        <v>216</v>
      </c>
      <c r="M13" s="72">
        <f t="shared" si="3"/>
        <v>0</v>
      </c>
      <c r="N13" s="24">
        <f t="shared" si="4"/>
        <v>2.5000000000000001E-3</v>
      </c>
      <c r="O13" s="24">
        <f t="shared" si="4"/>
        <v>2.5000000000000001E-3</v>
      </c>
      <c r="P13" s="24">
        <f t="shared" si="2"/>
        <v>0.25</v>
      </c>
      <c r="Q13" s="22">
        <v>2.2200000000000001E-2</v>
      </c>
      <c r="R13" s="22">
        <v>2.1800000000000001E-3</v>
      </c>
      <c r="S13" s="22">
        <v>4.6000000000000001E-4</v>
      </c>
      <c r="T13" s="24">
        <f>0.5* 0.003</f>
        <v>1.5E-3</v>
      </c>
    </row>
    <row r="14" spans="1:20">
      <c r="A14" s="20" t="s">
        <v>21</v>
      </c>
      <c r="B14" s="21">
        <v>43089</v>
      </c>
      <c r="C14" s="22">
        <v>-0.1</v>
      </c>
      <c r="D14" s="22">
        <v>558</v>
      </c>
      <c r="E14" s="22">
        <v>296</v>
      </c>
      <c r="F14" s="22">
        <v>8.1199999999999992</v>
      </c>
      <c r="G14" s="25" t="s">
        <v>96</v>
      </c>
      <c r="H14" s="22">
        <v>389</v>
      </c>
      <c r="I14" s="22">
        <v>0.19</v>
      </c>
      <c r="J14" s="24">
        <f t="shared" si="0"/>
        <v>2.5000000000000001E-3</v>
      </c>
      <c r="K14" s="22">
        <v>1.1100000000000001</v>
      </c>
      <c r="L14" s="22">
        <v>193</v>
      </c>
      <c r="M14" s="72">
        <f t="shared" si="3"/>
        <v>0</v>
      </c>
      <c r="N14" s="24">
        <f t="shared" si="4"/>
        <v>2.5000000000000001E-3</v>
      </c>
      <c r="O14" s="24">
        <f t="shared" si="4"/>
        <v>2.5000000000000001E-3</v>
      </c>
      <c r="P14" s="24">
        <f t="shared" si="2"/>
        <v>0.25</v>
      </c>
      <c r="Q14" s="22">
        <v>2.3199999999999998E-2</v>
      </c>
      <c r="R14" s="22">
        <v>1.9400000000000001E-3</v>
      </c>
      <c r="S14" s="22">
        <v>4.4000000000000002E-4</v>
      </c>
      <c r="T14" s="24">
        <f>0.5* 0.001</f>
        <v>5.0000000000000001E-4</v>
      </c>
    </row>
    <row r="15" spans="1:20">
      <c r="A15" s="14"/>
      <c r="B15" s="15" t="s">
        <v>100</v>
      </c>
      <c r="C15" s="118">
        <f t="shared" ref="C15:T15" si="5">MIN(C2:C14)</f>
        <v>-0.7</v>
      </c>
      <c r="D15" s="16">
        <f t="shared" si="5"/>
        <v>202</v>
      </c>
      <c r="E15" s="16">
        <f t="shared" si="5"/>
        <v>92.8</v>
      </c>
      <c r="F15" s="30">
        <f t="shared" si="5"/>
        <v>7.88</v>
      </c>
      <c r="G15" s="29">
        <f t="shared" si="5"/>
        <v>1.5</v>
      </c>
      <c r="H15" s="16">
        <f t="shared" si="5"/>
        <v>145</v>
      </c>
      <c r="I15" s="30">
        <f t="shared" si="5"/>
        <v>0.12</v>
      </c>
      <c r="J15" s="31">
        <f t="shared" si="5"/>
        <v>2.5000000000000001E-3</v>
      </c>
      <c r="K15" s="37">
        <f t="shared" si="5"/>
        <v>0.159</v>
      </c>
      <c r="L15" s="29">
        <f t="shared" si="5"/>
        <v>31.7</v>
      </c>
      <c r="M15" s="46">
        <f t="shared" si="5"/>
        <v>-2E-3</v>
      </c>
      <c r="N15" s="31">
        <f t="shared" si="5"/>
        <v>2.5000000000000001E-3</v>
      </c>
      <c r="O15" s="31">
        <f t="shared" si="5"/>
        <v>5.0000000000000001E-4</v>
      </c>
      <c r="P15" s="30">
        <f t="shared" si="5"/>
        <v>0.25</v>
      </c>
      <c r="Q15" s="38">
        <f t="shared" si="5"/>
        <v>2.2200000000000001E-2</v>
      </c>
      <c r="R15" s="38">
        <f t="shared" si="5"/>
        <v>5.0000000000000002E-5</v>
      </c>
      <c r="S15" s="38">
        <f t="shared" si="5"/>
        <v>4.2000000000000002E-4</v>
      </c>
      <c r="T15" s="31">
        <f t="shared" si="5"/>
        <v>2.5000000000000001E-4</v>
      </c>
    </row>
    <row r="16" spans="1:20">
      <c r="A16" s="14"/>
      <c r="B16" s="15" t="s">
        <v>101</v>
      </c>
      <c r="C16" s="29">
        <f t="shared" ref="C16:T16" si="6">MAX(C2:C14)</f>
        <v>9.8000000000000007</v>
      </c>
      <c r="D16" s="16">
        <f t="shared" si="6"/>
        <v>603</v>
      </c>
      <c r="E16" s="16">
        <f t="shared" si="6"/>
        <v>344</v>
      </c>
      <c r="F16" s="30">
        <f t="shared" si="6"/>
        <v>8.17</v>
      </c>
      <c r="G16" s="29">
        <f t="shared" si="6"/>
        <v>4.5</v>
      </c>
      <c r="H16" s="16">
        <f t="shared" si="6"/>
        <v>469</v>
      </c>
      <c r="I16" s="30">
        <f t="shared" si="6"/>
        <v>1.01</v>
      </c>
      <c r="J16" s="31">
        <f t="shared" si="6"/>
        <v>2.5000000000000001E-3</v>
      </c>
      <c r="K16" s="37">
        <f t="shared" si="6"/>
        <v>1.18</v>
      </c>
      <c r="L16" s="29">
        <f t="shared" si="6"/>
        <v>216</v>
      </c>
      <c r="M16" s="46">
        <f t="shared" si="6"/>
        <v>0</v>
      </c>
      <c r="N16" s="31">
        <f t="shared" si="6"/>
        <v>2.5000000000000001E-3</v>
      </c>
      <c r="O16" s="31">
        <f t="shared" si="6"/>
        <v>2.5000000000000001E-3</v>
      </c>
      <c r="P16" s="30">
        <f t="shared" si="6"/>
        <v>0.25</v>
      </c>
      <c r="Q16" s="38">
        <f t="shared" si="6"/>
        <v>3.2300000000000002E-2</v>
      </c>
      <c r="R16" s="38">
        <f t="shared" si="6"/>
        <v>2.1800000000000001E-3</v>
      </c>
      <c r="S16" s="38">
        <f t="shared" si="6"/>
        <v>1.07E-3</v>
      </c>
      <c r="T16" s="31">
        <f t="shared" si="6"/>
        <v>1.5E-3</v>
      </c>
    </row>
    <row r="17" spans="1:20">
      <c r="A17" s="14"/>
      <c r="B17" s="15" t="s">
        <v>102</v>
      </c>
      <c r="C17" s="29">
        <f t="shared" ref="C17:T17" si="7">AVERAGE(C2:C14)</f>
        <v>3.4583333333333326</v>
      </c>
      <c r="D17" s="16">
        <f t="shared" si="7"/>
        <v>335.91666666666669</v>
      </c>
      <c r="E17" s="16">
        <f t="shared" si="7"/>
        <v>171.48333333333335</v>
      </c>
      <c r="F17" s="30">
        <f t="shared" si="7"/>
        <v>8.0550000000000015</v>
      </c>
      <c r="G17" s="29">
        <f t="shared" si="7"/>
        <v>2.1</v>
      </c>
      <c r="H17" s="16">
        <f t="shared" si="7"/>
        <v>245.91666666666666</v>
      </c>
      <c r="I17" s="30">
        <f t="shared" si="7"/>
        <v>0.27166666666666667</v>
      </c>
      <c r="J17" s="31">
        <f t="shared" si="7"/>
        <v>2.4999999999999996E-3</v>
      </c>
      <c r="K17" s="37">
        <f t="shared" si="7"/>
        <v>0.53308333333333335</v>
      </c>
      <c r="L17" s="29">
        <f t="shared" si="7"/>
        <v>92.941666666666663</v>
      </c>
      <c r="M17" s="46">
        <f t="shared" si="7"/>
        <v>-1.6666666666666666E-4</v>
      </c>
      <c r="N17" s="31">
        <f t="shared" si="7"/>
        <v>2.4999999999999996E-3</v>
      </c>
      <c r="O17" s="31">
        <f t="shared" si="7"/>
        <v>2.3333333333333331E-3</v>
      </c>
      <c r="P17" s="30">
        <f t="shared" si="7"/>
        <v>0.25</v>
      </c>
      <c r="Q17" s="38">
        <f t="shared" si="7"/>
        <v>2.6433333333333333E-2</v>
      </c>
      <c r="R17" s="38">
        <f t="shared" si="7"/>
        <v>6.3832500000000003E-4</v>
      </c>
      <c r="S17" s="38">
        <f t="shared" si="7"/>
        <v>6.2166666666666674E-4</v>
      </c>
      <c r="T17" s="31">
        <f t="shared" si="7"/>
        <v>6.6583333333333338E-4</v>
      </c>
    </row>
    <row r="18" spans="1:20">
      <c r="A18" s="14"/>
      <c r="B18" s="15" t="s">
        <v>103</v>
      </c>
      <c r="C18" s="29">
        <f t="shared" ref="C18:T18" si="8">_xlfn.STDEV.P(C2:C14)</f>
        <v>3.7697166854936057</v>
      </c>
      <c r="D18" s="16">
        <f t="shared" si="8"/>
        <v>143.67640628238939</v>
      </c>
      <c r="E18" s="16">
        <f t="shared" si="8"/>
        <v>86.467930792609749</v>
      </c>
      <c r="F18" s="30">
        <f t="shared" si="8"/>
        <v>9.8022106350217533E-2</v>
      </c>
      <c r="G18" s="29">
        <f t="shared" si="8"/>
        <v>1.2</v>
      </c>
      <c r="H18" s="16">
        <f t="shared" si="8"/>
        <v>105.35769101283283</v>
      </c>
      <c r="I18" s="30">
        <f t="shared" si="8"/>
        <v>0.23104232416497966</v>
      </c>
      <c r="J18" s="31">
        <f t="shared" si="8"/>
        <v>4.3368086899420177E-19</v>
      </c>
      <c r="K18" s="37">
        <f t="shared" si="8"/>
        <v>0.3470589427204292</v>
      </c>
      <c r="L18" s="29">
        <f t="shared" si="8"/>
        <v>64.844949152232019</v>
      </c>
      <c r="M18" s="46">
        <f t="shared" si="8"/>
        <v>5.5277079839256664E-4</v>
      </c>
      <c r="N18" s="31">
        <f t="shared" si="8"/>
        <v>4.3368086899420177E-19</v>
      </c>
      <c r="O18" s="31">
        <f t="shared" si="8"/>
        <v>5.5277079839256664E-4</v>
      </c>
      <c r="P18" s="30">
        <f t="shared" si="8"/>
        <v>0</v>
      </c>
      <c r="Q18" s="38">
        <f t="shared" si="8"/>
        <v>3.5084026121425817E-3</v>
      </c>
      <c r="R18" s="38">
        <f t="shared" si="8"/>
        <v>7.5435835551922322E-4</v>
      </c>
      <c r="S18" s="38">
        <f t="shared" si="8"/>
        <v>2.1540014443407928E-4</v>
      </c>
      <c r="T18" s="31">
        <f t="shared" si="8"/>
        <v>3.5379980999932089E-4</v>
      </c>
    </row>
    <row r="19" spans="1:20" ht="12.75" customHeight="1">
      <c r="A19" s="17"/>
      <c r="B19" s="131" t="s">
        <v>112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</row>
    <row r="20" spans="1:20" ht="12.75" customHeight="1">
      <c r="A20" s="17"/>
      <c r="B20" s="130" t="s">
        <v>117</v>
      </c>
      <c r="C20" s="130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</row>
    <row r="21" spans="1:20" ht="12.75" customHeight="1">
      <c r="A21" s="17"/>
      <c r="B21" s="130" t="s">
        <v>114</v>
      </c>
      <c r="C21" s="130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</row>
    <row r="22" spans="1:20" ht="12.75" customHeight="1">
      <c r="A22" s="17"/>
      <c r="B22" s="130" t="s">
        <v>108</v>
      </c>
      <c r="C22" s="130"/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</row>
    <row r="23" spans="1:20" ht="12.75" customHeight="1">
      <c r="A23" s="18"/>
      <c r="B23" s="130" t="s">
        <v>115</v>
      </c>
      <c r="C23" s="130"/>
      <c r="D23" s="130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</row>
    <row r="24" spans="1:20" ht="12.75" customHeight="1"/>
  </sheetData>
  <mergeCells count="5">
    <mergeCell ref="B23:T23"/>
    <mergeCell ref="B19:T19"/>
    <mergeCell ref="B20:T20"/>
    <mergeCell ref="B21:T21"/>
    <mergeCell ref="B22:T22"/>
  </mergeCells>
  <printOptions horizontalCentered="1"/>
  <pageMargins left="0.25" right="0.25" top="1.0833333333333299" bottom="0.75" header="0.3" footer="0.3"/>
  <pageSetup orientation="landscape" r:id="rId1"/>
  <headerFooter alignWithMargins="0">
    <oddHeader>&amp;LBarrick Gold Inc. - Nickel Plate Mine&amp;C&amp;"-,Regular"&amp;18
Table 34 - SUNSET (E206634) Data&amp;RAnnual Report, 2017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T7"/>
  <sheetViews>
    <sheetView view="pageLayout" zoomScaleNormal="100" workbookViewId="0">
      <selection activeCell="B33" sqref="B33"/>
    </sheetView>
  </sheetViews>
  <sheetFormatPr defaultColWidth="9.1328125" defaultRowHeight="15.75"/>
  <cols>
    <col min="1" max="1" width="9.86328125" style="19" bestFit="1" customWidth="1"/>
    <col min="2" max="2" width="11" style="23" bestFit="1" customWidth="1"/>
    <col min="3" max="3" width="3.86328125" style="19" bestFit="1" customWidth="1"/>
    <col min="4" max="4" width="4.59765625" style="19" bestFit="1" customWidth="1"/>
    <col min="5" max="5" width="5.73046875" style="19" bestFit="1" customWidth="1"/>
    <col min="6" max="6" width="4" style="19" bestFit="1" customWidth="1"/>
    <col min="7" max="7" width="5.73046875" style="19" bestFit="1" customWidth="1"/>
    <col min="8" max="8" width="4" style="19" bestFit="1" customWidth="1"/>
    <col min="9" max="9" width="4.59765625" style="19" bestFit="1" customWidth="1"/>
    <col min="10" max="10" width="7.73046875" style="19" bestFit="1" customWidth="1"/>
    <col min="11" max="11" width="8" style="19" bestFit="1" customWidth="1"/>
    <col min="12" max="12" width="5.73046875" style="19" bestFit="1" customWidth="1"/>
    <col min="13" max="13" width="4.265625" style="74" bestFit="1" customWidth="1"/>
    <col min="14" max="15" width="8.86328125" style="19" bestFit="1" customWidth="1"/>
    <col min="16" max="16" width="6.59765625" style="19" bestFit="1" customWidth="1"/>
    <col min="17" max="17" width="9.1328125" style="19" bestFit="1" customWidth="1"/>
    <col min="18" max="18" width="10" style="19" bestFit="1" customWidth="1"/>
    <col min="19" max="20" width="9.1328125" style="19" bestFit="1" customWidth="1"/>
    <col min="21" max="16384" width="9.1328125" style="19"/>
  </cols>
  <sheetData>
    <row r="1" spans="1:20" ht="132">
      <c r="A1" s="1" t="s">
        <v>45</v>
      </c>
      <c r="B1" s="2" t="s">
        <v>46</v>
      </c>
      <c r="C1" s="71" t="s">
        <v>47</v>
      </c>
      <c r="D1" s="5" t="s">
        <v>50</v>
      </c>
      <c r="E1" s="5" t="s">
        <v>51</v>
      </c>
      <c r="F1" s="71" t="s">
        <v>0</v>
      </c>
      <c r="G1" s="4" t="s">
        <v>52</v>
      </c>
      <c r="H1" s="71" t="s">
        <v>54</v>
      </c>
      <c r="I1" s="5" t="s">
        <v>55</v>
      </c>
      <c r="J1" s="5" t="s">
        <v>56</v>
      </c>
      <c r="K1" s="7" t="s">
        <v>57</v>
      </c>
      <c r="L1" s="5" t="s">
        <v>59</v>
      </c>
      <c r="M1" s="73" t="s">
        <v>105</v>
      </c>
      <c r="N1" s="7" t="s">
        <v>60</v>
      </c>
      <c r="O1" s="7" t="s">
        <v>61</v>
      </c>
      <c r="P1" s="4" t="s">
        <v>62</v>
      </c>
      <c r="Q1" s="10" t="s">
        <v>82</v>
      </c>
      <c r="R1" s="9" t="s">
        <v>85</v>
      </c>
      <c r="S1" s="10" t="s">
        <v>86</v>
      </c>
      <c r="T1" s="10" t="s">
        <v>95</v>
      </c>
    </row>
    <row r="2" spans="1:20">
      <c r="A2" s="101" t="s">
        <v>97</v>
      </c>
      <c r="B2" s="112">
        <v>42879</v>
      </c>
      <c r="C2" s="114" t="s">
        <v>96</v>
      </c>
      <c r="D2" s="102">
        <v>4.4000000000000004</v>
      </c>
      <c r="E2" s="102">
        <v>86.5</v>
      </c>
      <c r="F2" s="103">
        <v>33</v>
      </c>
      <c r="G2" s="104">
        <v>7.65</v>
      </c>
      <c r="H2" s="103">
        <v>64</v>
      </c>
      <c r="I2" s="102">
        <v>0.73</v>
      </c>
      <c r="J2" s="105">
        <f>0.5*0.005</f>
        <v>2.5000000000000001E-3</v>
      </c>
      <c r="K2" s="106">
        <v>0.25700000000000001</v>
      </c>
      <c r="L2" s="102">
        <v>11.8</v>
      </c>
      <c r="M2" s="111">
        <f>O2-N2</f>
        <v>0</v>
      </c>
      <c r="N2" s="107">
        <f>0.5*0.005</f>
        <v>2.5000000000000001E-3</v>
      </c>
      <c r="O2" s="107">
        <f>0.5*0.005</f>
        <v>2.5000000000000001E-3</v>
      </c>
      <c r="P2" s="108">
        <f>0.5*0.5</f>
        <v>0.25</v>
      </c>
      <c r="Q2" s="109">
        <v>3.6600000000000001E-2</v>
      </c>
      <c r="R2" s="110">
        <f>0.5*0.0001</f>
        <v>5.0000000000000002E-5</v>
      </c>
      <c r="S2" s="109">
        <v>1E-3</v>
      </c>
      <c r="T2" s="109">
        <v>3.3E-4</v>
      </c>
    </row>
    <row r="3" spans="1:20" ht="12.75" customHeight="1">
      <c r="A3" s="17"/>
      <c r="B3" s="131" t="s">
        <v>112</v>
      </c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</row>
    <row r="4" spans="1:20" ht="12.75" customHeight="1">
      <c r="A4" s="17"/>
      <c r="B4" s="130" t="s">
        <v>117</v>
      </c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</row>
    <row r="5" spans="1:20" ht="12.75" customHeight="1">
      <c r="A5" s="17"/>
      <c r="B5" s="130" t="s">
        <v>114</v>
      </c>
      <c r="C5" s="130"/>
      <c r="D5" s="130"/>
      <c r="E5" s="130"/>
      <c r="F5" s="130"/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</row>
    <row r="6" spans="1:20" ht="12.75" customHeight="1">
      <c r="A6" s="18"/>
      <c r="B6" s="130" t="s">
        <v>115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0"/>
    </row>
    <row r="7" spans="1:20" ht="12.75" customHeight="1"/>
  </sheetData>
  <mergeCells count="4">
    <mergeCell ref="B6:T6"/>
    <mergeCell ref="B3:T3"/>
    <mergeCell ref="B4:T4"/>
    <mergeCell ref="B5:T5"/>
  </mergeCells>
  <printOptions horizontalCentered="1"/>
  <pageMargins left="0.25" right="0.25" top="1.0833333333333299" bottom="0.75" header="0.3" footer="0.3"/>
  <pageSetup orientation="landscape" r:id="rId1"/>
  <headerFooter alignWithMargins="0">
    <oddHeader>&amp;LBarrick Gold Inc. - Nickel Plate Mine&amp;C&amp;"-,Regular"&amp;18
Table 35 - UPPER-SS (E215954) Data&amp;RAnnual Report, 2017</oddHead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R23"/>
  <sheetViews>
    <sheetView view="pageLayout" zoomScaleNormal="100" workbookViewId="0">
      <selection activeCell="B33" sqref="B33"/>
    </sheetView>
  </sheetViews>
  <sheetFormatPr defaultColWidth="9.1328125" defaultRowHeight="15.75"/>
  <cols>
    <col min="1" max="1" width="4.1328125" style="19" bestFit="1" customWidth="1"/>
    <col min="2" max="2" width="11" style="23" bestFit="1" customWidth="1"/>
    <col min="3" max="4" width="6.86328125" style="19" bestFit="1" customWidth="1"/>
    <col min="5" max="6" width="5.73046875" style="19" bestFit="1" customWidth="1"/>
    <col min="7" max="7" width="7" style="19" bestFit="1" customWidth="1"/>
    <col min="8" max="8" width="6.86328125" style="19" bestFit="1" customWidth="1"/>
    <col min="9" max="9" width="7.265625" style="74" bestFit="1" customWidth="1"/>
    <col min="10" max="10" width="7" style="19" bestFit="1" customWidth="1"/>
    <col min="11" max="12" width="6.86328125" style="19" bestFit="1" customWidth="1"/>
    <col min="13" max="13" width="8" style="19" bestFit="1" customWidth="1"/>
    <col min="14" max="14" width="6.86328125" style="19" bestFit="1" customWidth="1"/>
    <col min="15" max="15" width="9.265625" style="19" bestFit="1" customWidth="1"/>
    <col min="16" max="16" width="6.86328125" style="19" bestFit="1" customWidth="1"/>
    <col min="17" max="17" width="8" style="19" bestFit="1" customWidth="1"/>
    <col min="18" max="18" width="8.1328125" style="19" bestFit="1" customWidth="1"/>
    <col min="19" max="16384" width="9.1328125" style="19"/>
  </cols>
  <sheetData>
    <row r="1" spans="1:18" ht="132">
      <c r="A1" s="1" t="s">
        <v>45</v>
      </c>
      <c r="B1" s="2" t="s">
        <v>46</v>
      </c>
      <c r="C1" s="5" t="s">
        <v>51</v>
      </c>
      <c r="D1" s="71" t="s">
        <v>0</v>
      </c>
      <c r="E1" s="4" t="s">
        <v>52</v>
      </c>
      <c r="F1" s="5" t="s">
        <v>56</v>
      </c>
      <c r="G1" s="7" t="s">
        <v>57</v>
      </c>
      <c r="H1" s="5" t="s">
        <v>59</v>
      </c>
      <c r="I1" s="73" t="s">
        <v>105</v>
      </c>
      <c r="J1" s="7" t="s">
        <v>60</v>
      </c>
      <c r="K1" s="7" t="s">
        <v>61</v>
      </c>
      <c r="L1" s="4" t="s">
        <v>62</v>
      </c>
      <c r="M1" s="10" t="s">
        <v>82</v>
      </c>
      <c r="N1" s="9" t="s">
        <v>85</v>
      </c>
      <c r="O1" s="10" t="s">
        <v>86</v>
      </c>
      <c r="P1" s="7" t="s">
        <v>87</v>
      </c>
      <c r="Q1" s="8" t="s">
        <v>91</v>
      </c>
      <c r="R1" s="10" t="s">
        <v>95</v>
      </c>
    </row>
    <row r="2" spans="1:18">
      <c r="A2" s="20" t="s">
        <v>14</v>
      </c>
      <c r="B2" s="21">
        <v>42740.5</v>
      </c>
      <c r="C2" s="22">
        <v>5080</v>
      </c>
      <c r="D2" s="22">
        <v>1340</v>
      </c>
      <c r="E2" s="22">
        <v>7.7</v>
      </c>
      <c r="F2" s="22">
        <v>26.2</v>
      </c>
      <c r="G2" s="22">
        <v>0.3</v>
      </c>
      <c r="H2" s="22">
        <v>2130</v>
      </c>
      <c r="I2" s="28">
        <f>K2-J2</f>
        <v>0.75800000000000001</v>
      </c>
      <c r="J2" s="24">
        <f>0.5* 0.05</f>
        <v>2.5000000000000001E-2</v>
      </c>
      <c r="K2" s="22">
        <v>0.78300000000000003</v>
      </c>
      <c r="L2" s="22">
        <v>780</v>
      </c>
      <c r="M2" s="22">
        <v>0.27100000000000002</v>
      </c>
      <c r="N2" s="22">
        <v>1.37</v>
      </c>
      <c r="O2" s="24">
        <f>0.5* 0.0005</f>
        <v>2.5000000000000001E-4</v>
      </c>
      <c r="P2" s="22">
        <v>0.10199999999999999</v>
      </c>
      <c r="Q2" s="22">
        <v>1.5599999999999999E-2</v>
      </c>
      <c r="R2" s="22">
        <v>1.54E-2</v>
      </c>
    </row>
    <row r="3" spans="1:18">
      <c r="A3" s="20" t="s">
        <v>14</v>
      </c>
      <c r="B3" s="21">
        <v>42774.5</v>
      </c>
      <c r="C3" s="22">
        <v>5190</v>
      </c>
      <c r="D3" s="22">
        <v>1350</v>
      </c>
      <c r="E3" s="22">
        <v>7.8</v>
      </c>
      <c r="F3" s="22">
        <v>29.4</v>
      </c>
      <c r="G3" s="22">
        <v>0.31</v>
      </c>
      <c r="H3" s="22">
        <v>2120</v>
      </c>
      <c r="I3" s="28">
        <f t="shared" ref="I3:I13" si="0">K3-J3</f>
        <v>0.85899999999999999</v>
      </c>
      <c r="J3" s="24">
        <f>0.5* 0.05</f>
        <v>2.5000000000000001E-2</v>
      </c>
      <c r="K3" s="22">
        <v>0.88400000000000001</v>
      </c>
      <c r="L3" s="22">
        <v>938</v>
      </c>
      <c r="M3" s="22">
        <v>0.29499999999999998</v>
      </c>
      <c r="N3" s="22">
        <v>1.52</v>
      </c>
      <c r="O3" s="22">
        <v>1.7099999999999999E-3</v>
      </c>
      <c r="P3" s="22">
        <v>0.11799999999999999</v>
      </c>
      <c r="Q3" s="22">
        <v>1.47E-2</v>
      </c>
      <c r="R3" s="22">
        <v>2.3900000000000001E-2</v>
      </c>
    </row>
    <row r="4" spans="1:18">
      <c r="A4" s="20" t="s">
        <v>14</v>
      </c>
      <c r="B4" s="21">
        <v>42801.5</v>
      </c>
      <c r="C4" s="22">
        <v>4820</v>
      </c>
      <c r="D4" s="22">
        <v>1310</v>
      </c>
      <c r="E4" s="22">
        <v>7.64</v>
      </c>
      <c r="F4" s="22">
        <v>34.299999999999997</v>
      </c>
      <c r="G4" s="22">
        <v>0.37</v>
      </c>
      <c r="H4" s="22">
        <v>1960</v>
      </c>
      <c r="I4" s="28">
        <f t="shared" si="0"/>
        <v>0.72199999999999998</v>
      </c>
      <c r="J4" s="22">
        <v>0.10100000000000001</v>
      </c>
      <c r="K4" s="22">
        <v>0.82299999999999995</v>
      </c>
      <c r="L4" s="22">
        <v>786</v>
      </c>
      <c r="M4" s="22">
        <v>0.32100000000000001</v>
      </c>
      <c r="N4" s="22">
        <v>1.31</v>
      </c>
      <c r="O4" s="22">
        <v>1.4E-3</v>
      </c>
      <c r="P4" s="22">
        <v>9.0999999999999998E-2</v>
      </c>
      <c r="Q4" s="22">
        <v>2.5399999999999999E-2</v>
      </c>
      <c r="R4" s="22">
        <v>8.0000000000000002E-3</v>
      </c>
    </row>
    <row r="5" spans="1:18">
      <c r="A5" s="20" t="s">
        <v>14</v>
      </c>
      <c r="B5" s="21">
        <v>42837.5</v>
      </c>
      <c r="C5" s="22">
        <v>4710</v>
      </c>
      <c r="D5" s="22">
        <v>1280</v>
      </c>
      <c r="E5" s="22">
        <v>7.7</v>
      </c>
      <c r="F5" s="22">
        <v>25.6</v>
      </c>
      <c r="G5" s="22">
        <v>0.46</v>
      </c>
      <c r="H5" s="22">
        <v>1940</v>
      </c>
      <c r="I5" s="28">
        <f t="shared" si="0"/>
        <v>0.65900000000000003</v>
      </c>
      <c r="J5" s="24">
        <f t="shared" ref="J5:J10" si="1">0.5* 0.05</f>
        <v>2.5000000000000001E-2</v>
      </c>
      <c r="K5" s="22">
        <v>0.68400000000000005</v>
      </c>
      <c r="L5" s="22">
        <v>660</v>
      </c>
      <c r="M5" s="22">
        <v>0.22900000000000001</v>
      </c>
      <c r="N5" s="22">
        <v>1.37</v>
      </c>
      <c r="O5" s="24">
        <f>0.5* 0.001</f>
        <v>5.0000000000000001E-4</v>
      </c>
      <c r="P5" s="22">
        <v>0.16</v>
      </c>
      <c r="Q5" s="22">
        <v>1.46E-2</v>
      </c>
      <c r="R5" s="22">
        <v>1.37E-2</v>
      </c>
    </row>
    <row r="6" spans="1:18">
      <c r="A6" s="20" t="s">
        <v>14</v>
      </c>
      <c r="B6" s="21">
        <v>42865</v>
      </c>
      <c r="C6" s="22">
        <v>6080</v>
      </c>
      <c r="D6" s="22">
        <v>1030</v>
      </c>
      <c r="E6" s="22">
        <v>7.5</v>
      </c>
      <c r="F6" s="22">
        <v>17.7</v>
      </c>
      <c r="G6" s="22">
        <v>0.96</v>
      </c>
      <c r="H6" s="22">
        <v>1270</v>
      </c>
      <c r="I6" s="28">
        <f t="shared" si="0"/>
        <v>0.53400000000000003</v>
      </c>
      <c r="J6" s="24">
        <f t="shared" si="1"/>
        <v>2.5000000000000001E-2</v>
      </c>
      <c r="K6" s="22">
        <v>0.55900000000000005</v>
      </c>
      <c r="L6" s="22">
        <v>370</v>
      </c>
      <c r="M6" s="22">
        <v>0.13400000000000001</v>
      </c>
      <c r="N6" s="22">
        <v>0.75700000000000001</v>
      </c>
      <c r="O6" s="22">
        <v>9.7000000000000005E-4</v>
      </c>
      <c r="P6" s="22">
        <v>3.9E-2</v>
      </c>
      <c r="Q6" s="22">
        <v>8.3999999999999995E-3</v>
      </c>
      <c r="R6" s="22">
        <v>1.32E-2</v>
      </c>
    </row>
    <row r="7" spans="1:18">
      <c r="A7" s="20" t="s">
        <v>14</v>
      </c>
      <c r="B7" s="21">
        <v>42893.5</v>
      </c>
      <c r="C7" s="22">
        <v>5300</v>
      </c>
      <c r="D7" s="22">
        <v>1350</v>
      </c>
      <c r="E7" s="22">
        <v>7.36</v>
      </c>
      <c r="F7" s="22">
        <v>44.3</v>
      </c>
      <c r="G7" s="22">
        <v>0.14000000000000001</v>
      </c>
      <c r="H7" s="22">
        <v>2170</v>
      </c>
      <c r="I7" s="28">
        <f t="shared" si="0"/>
        <v>0.78600000000000003</v>
      </c>
      <c r="J7" s="24">
        <f t="shared" si="1"/>
        <v>2.5000000000000001E-2</v>
      </c>
      <c r="K7" s="22">
        <v>0.81100000000000005</v>
      </c>
      <c r="L7" s="22">
        <v>1460</v>
      </c>
      <c r="M7" s="22">
        <v>0.79900000000000004</v>
      </c>
      <c r="N7" s="22">
        <v>1.38</v>
      </c>
      <c r="O7" s="24">
        <f>0.5* 0.001</f>
        <v>5.0000000000000001E-4</v>
      </c>
      <c r="P7" s="22">
        <v>1.52</v>
      </c>
      <c r="Q7" s="22">
        <v>1.5599999999999999E-2</v>
      </c>
      <c r="R7" s="22">
        <v>6.8999999999999999E-3</v>
      </c>
    </row>
    <row r="8" spans="1:18">
      <c r="A8" s="20" t="s">
        <v>14</v>
      </c>
      <c r="B8" s="21">
        <v>42928.5</v>
      </c>
      <c r="C8" s="22">
        <v>5270</v>
      </c>
      <c r="D8" s="22">
        <v>1280</v>
      </c>
      <c r="E8" s="22">
        <v>7.81</v>
      </c>
      <c r="F8" s="22">
        <v>41.4</v>
      </c>
      <c r="G8" s="22">
        <v>0.15</v>
      </c>
      <c r="H8" s="22">
        <v>2170</v>
      </c>
      <c r="I8" s="28">
        <f t="shared" si="0"/>
        <v>0.85299999999999998</v>
      </c>
      <c r="J8" s="24">
        <f t="shared" si="1"/>
        <v>2.5000000000000001E-2</v>
      </c>
      <c r="K8" s="22">
        <v>0.878</v>
      </c>
      <c r="L8" s="22">
        <v>802</v>
      </c>
      <c r="M8" s="22">
        <v>0.60399999999999998</v>
      </c>
      <c r="N8" s="22">
        <v>1.36</v>
      </c>
      <c r="O8" s="24">
        <f>0.5* 0.001</f>
        <v>5.0000000000000001E-4</v>
      </c>
      <c r="P8" s="22">
        <v>0.29899999999999999</v>
      </c>
      <c r="Q8" s="22">
        <v>1.14E-2</v>
      </c>
      <c r="R8" s="24">
        <f>0.5* 0.005</f>
        <v>2.5000000000000001E-3</v>
      </c>
    </row>
    <row r="9" spans="1:18">
      <c r="A9" s="20" t="s">
        <v>14</v>
      </c>
      <c r="B9" s="21">
        <v>42956.5</v>
      </c>
      <c r="C9" s="22">
        <v>5770</v>
      </c>
      <c r="D9" s="22">
        <v>1400</v>
      </c>
      <c r="E9" s="22">
        <v>7.44</v>
      </c>
      <c r="F9" s="22">
        <v>38.6</v>
      </c>
      <c r="G9" s="24">
        <f>0.5* 0.25</f>
        <v>0.125</v>
      </c>
      <c r="H9" s="22">
        <v>2460</v>
      </c>
      <c r="I9" s="28">
        <f t="shared" si="0"/>
        <v>0.84599999999999997</v>
      </c>
      <c r="J9" s="24">
        <f t="shared" si="1"/>
        <v>2.5000000000000001E-2</v>
      </c>
      <c r="K9" s="22">
        <v>0.871</v>
      </c>
      <c r="L9" s="22">
        <v>912</v>
      </c>
      <c r="M9" s="22">
        <v>0.68500000000000005</v>
      </c>
      <c r="N9" s="22">
        <v>1.37</v>
      </c>
      <c r="O9" s="24">
        <f>0.5* 0.001</f>
        <v>5.0000000000000001E-4</v>
      </c>
      <c r="P9" s="22">
        <v>0.28699999999999998</v>
      </c>
      <c r="Q9" s="22">
        <v>1.4200000000000001E-2</v>
      </c>
      <c r="R9" s="22">
        <v>5.3E-3</v>
      </c>
    </row>
    <row r="10" spans="1:18">
      <c r="A10" s="20" t="s">
        <v>14</v>
      </c>
      <c r="B10" s="21">
        <v>42984</v>
      </c>
      <c r="C10" s="22">
        <v>5090</v>
      </c>
      <c r="D10" s="22">
        <v>1330</v>
      </c>
      <c r="E10" s="22">
        <v>7.84</v>
      </c>
      <c r="F10" s="22">
        <v>30.6</v>
      </c>
      <c r="G10" s="22">
        <v>0.11</v>
      </c>
      <c r="H10" s="22">
        <v>2100</v>
      </c>
      <c r="I10" s="28">
        <f t="shared" si="0"/>
        <v>0.68299999999999994</v>
      </c>
      <c r="J10" s="24">
        <f t="shared" si="1"/>
        <v>2.5000000000000001E-2</v>
      </c>
      <c r="K10" s="22">
        <v>0.70799999999999996</v>
      </c>
      <c r="L10" s="22">
        <v>729</v>
      </c>
      <c r="M10" s="22">
        <v>0.38600000000000001</v>
      </c>
      <c r="N10" s="22">
        <v>1.36</v>
      </c>
      <c r="O10" s="24">
        <f>0.5* 0.001</f>
        <v>5.0000000000000001E-4</v>
      </c>
      <c r="P10" s="22">
        <v>0.10299999999999999</v>
      </c>
      <c r="Q10" s="22">
        <v>1.34E-2</v>
      </c>
      <c r="R10" s="22">
        <v>1.21E-2</v>
      </c>
    </row>
    <row r="11" spans="1:18">
      <c r="A11" s="20" t="s">
        <v>14</v>
      </c>
      <c r="B11" s="21">
        <v>43019.5</v>
      </c>
      <c r="C11" s="22">
        <v>5360</v>
      </c>
      <c r="D11" s="22">
        <v>1310</v>
      </c>
      <c r="E11" s="22">
        <v>7.95</v>
      </c>
      <c r="F11" s="22">
        <v>33.4</v>
      </c>
      <c r="G11" s="22">
        <v>0.12</v>
      </c>
      <c r="H11" s="22">
        <v>2090</v>
      </c>
      <c r="I11" s="28">
        <f t="shared" si="0"/>
        <v>0.73399999999999999</v>
      </c>
      <c r="J11" s="22">
        <v>4.9000000000000002E-2</v>
      </c>
      <c r="K11" s="22">
        <v>0.78300000000000003</v>
      </c>
      <c r="L11" s="22">
        <v>812</v>
      </c>
      <c r="M11" s="22">
        <v>0.66500000000000004</v>
      </c>
      <c r="N11" s="22">
        <v>1.38</v>
      </c>
      <c r="O11" s="24">
        <f>0.5* 0.0004</f>
        <v>2.0000000000000001E-4</v>
      </c>
      <c r="P11" s="22">
        <v>0.17499999999999999</v>
      </c>
      <c r="Q11" s="22">
        <v>1.32E-2</v>
      </c>
      <c r="R11" s="22">
        <v>2.3E-3</v>
      </c>
    </row>
    <row r="12" spans="1:18">
      <c r="A12" s="20" t="s">
        <v>14</v>
      </c>
      <c r="B12" s="21">
        <v>43047.5</v>
      </c>
      <c r="C12" s="22">
        <v>5100</v>
      </c>
      <c r="D12" s="22">
        <v>1410</v>
      </c>
      <c r="E12" s="22">
        <v>7.84</v>
      </c>
      <c r="F12" s="22">
        <v>32.5</v>
      </c>
      <c r="G12" s="24">
        <f>0.5* 0.25</f>
        <v>0.125</v>
      </c>
      <c r="H12" s="22">
        <v>2160</v>
      </c>
      <c r="I12" s="28">
        <f t="shared" si="0"/>
        <v>0.53099999999999992</v>
      </c>
      <c r="J12" s="22">
        <v>3.5000000000000003E-2</v>
      </c>
      <c r="K12" s="22">
        <v>0.56599999999999995</v>
      </c>
      <c r="L12" s="22">
        <v>832</v>
      </c>
      <c r="M12" s="22">
        <v>0.47899999999999998</v>
      </c>
      <c r="N12" s="22">
        <v>1.6</v>
      </c>
      <c r="O12" s="24">
        <f>0.5* 0.001</f>
        <v>5.0000000000000001E-4</v>
      </c>
      <c r="P12" s="22">
        <v>0.11799999999999999</v>
      </c>
      <c r="Q12" s="22">
        <v>1.5100000000000001E-2</v>
      </c>
      <c r="R12" s="24">
        <f>0.5* 0.005</f>
        <v>2.5000000000000001E-3</v>
      </c>
    </row>
    <row r="13" spans="1:18">
      <c r="A13" s="20" t="s">
        <v>14</v>
      </c>
      <c r="B13" s="21">
        <v>43075.5</v>
      </c>
      <c r="C13" s="22">
        <v>5400</v>
      </c>
      <c r="D13" s="22">
        <v>1350</v>
      </c>
      <c r="E13" s="22">
        <v>7.65</v>
      </c>
      <c r="F13" s="22">
        <v>30.3</v>
      </c>
      <c r="G13" s="22">
        <v>0.17</v>
      </c>
      <c r="H13" s="22">
        <v>2210</v>
      </c>
      <c r="I13" s="28">
        <f t="shared" si="0"/>
        <v>0.66200000000000003</v>
      </c>
      <c r="J13" s="24">
        <f>0.5* 0.01</f>
        <v>5.0000000000000001E-3</v>
      </c>
      <c r="K13" s="22">
        <v>0.66700000000000004</v>
      </c>
      <c r="L13" s="22">
        <v>917</v>
      </c>
      <c r="M13" s="22">
        <v>0.33200000000000002</v>
      </c>
      <c r="N13" s="22">
        <v>1.59</v>
      </c>
      <c r="O13" s="24">
        <f>0.5* 0.001</f>
        <v>5.0000000000000001E-4</v>
      </c>
      <c r="P13" s="22">
        <v>0.16400000000000001</v>
      </c>
      <c r="Q13" s="22">
        <v>1.6500000000000001E-2</v>
      </c>
      <c r="R13" s="24">
        <f>0.5* 0.005</f>
        <v>2.5000000000000001E-3</v>
      </c>
    </row>
    <row r="14" spans="1:18">
      <c r="A14" s="14"/>
      <c r="B14" s="15" t="s">
        <v>100</v>
      </c>
      <c r="C14" s="16">
        <f t="shared" ref="C14:R14" si="2">MIN(C2:C13)</f>
        <v>4710</v>
      </c>
      <c r="D14" s="16">
        <f t="shared" si="2"/>
        <v>1030</v>
      </c>
      <c r="E14" s="30">
        <f t="shared" si="2"/>
        <v>7.36</v>
      </c>
      <c r="F14" s="29">
        <f t="shared" si="2"/>
        <v>17.7</v>
      </c>
      <c r="G14" s="37">
        <f t="shared" si="2"/>
        <v>0.11</v>
      </c>
      <c r="H14" s="16">
        <f t="shared" si="2"/>
        <v>1270</v>
      </c>
      <c r="I14" s="64">
        <f t="shared" si="2"/>
        <v>0.53099999999999992</v>
      </c>
      <c r="J14" s="37">
        <f t="shared" si="2"/>
        <v>5.0000000000000001E-3</v>
      </c>
      <c r="K14" s="37">
        <f t="shared" si="2"/>
        <v>0.55900000000000005</v>
      </c>
      <c r="L14" s="16">
        <f t="shared" si="2"/>
        <v>370</v>
      </c>
      <c r="M14" s="31">
        <f t="shared" si="2"/>
        <v>0.13400000000000001</v>
      </c>
      <c r="N14" s="37">
        <f t="shared" si="2"/>
        <v>0.75700000000000001</v>
      </c>
      <c r="O14" s="38">
        <f t="shared" si="2"/>
        <v>2.0000000000000001E-4</v>
      </c>
      <c r="P14" s="37">
        <f t="shared" si="2"/>
        <v>3.9E-2</v>
      </c>
      <c r="Q14" s="31">
        <f t="shared" si="2"/>
        <v>8.3999999999999995E-3</v>
      </c>
      <c r="R14" s="31">
        <f t="shared" si="2"/>
        <v>2.3E-3</v>
      </c>
    </row>
    <row r="15" spans="1:18">
      <c r="A15" s="14"/>
      <c r="B15" s="15" t="s">
        <v>101</v>
      </c>
      <c r="C15" s="16">
        <f t="shared" ref="C15:R15" si="3">MAX(C2:C13)</f>
        <v>6080</v>
      </c>
      <c r="D15" s="16">
        <f t="shared" si="3"/>
        <v>1410</v>
      </c>
      <c r="E15" s="30">
        <f t="shared" si="3"/>
        <v>7.95</v>
      </c>
      <c r="F15" s="29">
        <f t="shared" si="3"/>
        <v>44.3</v>
      </c>
      <c r="G15" s="37">
        <f t="shared" si="3"/>
        <v>0.96</v>
      </c>
      <c r="H15" s="16">
        <f t="shared" si="3"/>
        <v>2460</v>
      </c>
      <c r="I15" s="64">
        <f t="shared" si="3"/>
        <v>0.85899999999999999</v>
      </c>
      <c r="J15" s="37">
        <f t="shared" si="3"/>
        <v>0.10100000000000001</v>
      </c>
      <c r="K15" s="37">
        <f t="shared" si="3"/>
        <v>0.88400000000000001</v>
      </c>
      <c r="L15" s="16">
        <f t="shared" si="3"/>
        <v>1460</v>
      </c>
      <c r="M15" s="31">
        <f t="shared" si="3"/>
        <v>0.79900000000000004</v>
      </c>
      <c r="N15" s="37">
        <f t="shared" si="3"/>
        <v>1.6</v>
      </c>
      <c r="O15" s="38">
        <f t="shared" si="3"/>
        <v>1.7099999999999999E-3</v>
      </c>
      <c r="P15" s="37">
        <f t="shared" si="3"/>
        <v>1.52</v>
      </c>
      <c r="Q15" s="31">
        <f t="shared" si="3"/>
        <v>2.5399999999999999E-2</v>
      </c>
      <c r="R15" s="31">
        <f t="shared" si="3"/>
        <v>2.3900000000000001E-2</v>
      </c>
    </row>
    <row r="16" spans="1:18">
      <c r="A16" s="14"/>
      <c r="B16" s="15" t="s">
        <v>102</v>
      </c>
      <c r="C16" s="16">
        <f t="shared" ref="C16:R16" si="4">AVERAGE(C2:C13)</f>
        <v>5264.166666666667</v>
      </c>
      <c r="D16" s="16">
        <f t="shared" si="4"/>
        <v>1311.6666666666667</v>
      </c>
      <c r="E16" s="30">
        <f t="shared" si="4"/>
        <v>7.6858333333333348</v>
      </c>
      <c r="F16" s="29">
        <f t="shared" si="4"/>
        <v>32.024999999999999</v>
      </c>
      <c r="G16" s="37">
        <f t="shared" si="4"/>
        <v>0.27833333333333332</v>
      </c>
      <c r="H16" s="16">
        <f t="shared" si="4"/>
        <v>2065</v>
      </c>
      <c r="I16" s="64">
        <f t="shared" si="4"/>
        <v>0.71891666666666654</v>
      </c>
      <c r="J16" s="37">
        <f t="shared" si="4"/>
        <v>3.2500000000000001E-2</v>
      </c>
      <c r="K16" s="37">
        <f t="shared" si="4"/>
        <v>0.75141666666666673</v>
      </c>
      <c r="L16" s="16">
        <f t="shared" si="4"/>
        <v>833.16666666666663</v>
      </c>
      <c r="M16" s="31">
        <f t="shared" si="4"/>
        <v>0.43333333333333335</v>
      </c>
      <c r="N16" s="37">
        <f t="shared" si="4"/>
        <v>1.3639166666666667</v>
      </c>
      <c r="O16" s="38">
        <f t="shared" si="4"/>
        <v>6.6916666666666676E-4</v>
      </c>
      <c r="P16" s="37">
        <f t="shared" si="4"/>
        <v>0.26466666666666666</v>
      </c>
      <c r="Q16" s="31">
        <f t="shared" si="4"/>
        <v>1.484166666666667E-2</v>
      </c>
      <c r="R16" s="31">
        <f t="shared" si="4"/>
        <v>9.025E-3</v>
      </c>
    </row>
    <row r="17" spans="1:18">
      <c r="A17" s="14"/>
      <c r="B17" s="15" t="s">
        <v>103</v>
      </c>
      <c r="C17" s="16">
        <f t="shared" ref="C17:R17" si="5">_xlfn.STDEV.P(C2:C13)</f>
        <v>359.57053859044436</v>
      </c>
      <c r="D17" s="16">
        <f t="shared" si="5"/>
        <v>93.258898890251871</v>
      </c>
      <c r="E17" s="30">
        <f t="shared" si="5"/>
        <v>0.17095117886565017</v>
      </c>
      <c r="F17" s="29">
        <f t="shared" si="5"/>
        <v>6.96061838727947</v>
      </c>
      <c r="G17" s="37">
        <f t="shared" si="5"/>
        <v>0.23368723162000574</v>
      </c>
      <c r="H17" s="16">
        <f t="shared" si="5"/>
        <v>270.16969975677631</v>
      </c>
      <c r="I17" s="64">
        <f t="shared" si="5"/>
        <v>0.1070992206113365</v>
      </c>
      <c r="J17" s="37">
        <f t="shared" si="5"/>
        <v>2.2688102609076867E-2</v>
      </c>
      <c r="K17" s="37">
        <f t="shared" si="5"/>
        <v>0.10936594406954156</v>
      </c>
      <c r="L17" s="16">
        <f t="shared" si="5"/>
        <v>237.87000418062149</v>
      </c>
      <c r="M17" s="31">
        <f t="shared" si="5"/>
        <v>0.20081057962390556</v>
      </c>
      <c r="N17" s="37">
        <f t="shared" si="5"/>
        <v>0.20476102263099066</v>
      </c>
      <c r="O17" s="38">
        <f t="shared" si="5"/>
        <v>4.3818676256693204E-4</v>
      </c>
      <c r="P17" s="37">
        <f t="shared" si="5"/>
        <v>0.38550536817129916</v>
      </c>
      <c r="Q17" s="31">
        <f t="shared" si="5"/>
        <v>3.8084245065672785E-3</v>
      </c>
      <c r="R17" s="31">
        <f t="shared" si="5"/>
        <v>6.4745817110708646E-3</v>
      </c>
    </row>
    <row r="18" spans="1:18" ht="12.75" customHeight="1">
      <c r="A18" s="17"/>
      <c r="B18" s="131" t="s">
        <v>112</v>
      </c>
      <c r="C18" s="130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</row>
    <row r="19" spans="1:18" ht="12.75" customHeight="1">
      <c r="A19" s="17"/>
      <c r="B19" s="130" t="s">
        <v>117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</row>
    <row r="20" spans="1:18" ht="12.75" customHeight="1">
      <c r="A20" s="17"/>
      <c r="B20" s="130" t="s">
        <v>114</v>
      </c>
      <c r="C20" s="130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</row>
    <row r="21" spans="1:18" ht="12.75" customHeight="1">
      <c r="A21" s="17"/>
      <c r="B21" s="130" t="s">
        <v>108</v>
      </c>
      <c r="C21" s="130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</row>
    <row r="22" spans="1:18" ht="12.75" customHeight="1">
      <c r="A22" s="18"/>
      <c r="B22" s="130" t="s">
        <v>115</v>
      </c>
      <c r="C22" s="130"/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</row>
    <row r="23" spans="1:18" ht="12.75" customHeight="1"/>
  </sheetData>
  <mergeCells count="5">
    <mergeCell ref="B22:R22"/>
    <mergeCell ref="B18:R18"/>
    <mergeCell ref="B19:R19"/>
    <mergeCell ref="B20:R20"/>
    <mergeCell ref="B21:R21"/>
  </mergeCells>
  <printOptions horizontalCentered="1"/>
  <pageMargins left="0.25" right="0.25" top="1.0833333333333299" bottom="0.75" header="0.3" footer="0.3"/>
  <pageSetup orientation="landscape" r:id="rId1"/>
  <headerFooter alignWithMargins="0">
    <oddHeader>&amp;LBarrick Gold Inc. - Nickel Plate Mine&amp;C&amp;"-,Regular"&amp;18
Table 36 - W1 Data&amp;RAnnual Report, 2017</oddHead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P24"/>
  <sheetViews>
    <sheetView view="pageLayout" zoomScaleNormal="100" workbookViewId="0">
      <selection activeCell="B33" sqref="B33"/>
    </sheetView>
  </sheetViews>
  <sheetFormatPr defaultColWidth="9.1328125" defaultRowHeight="15.75"/>
  <cols>
    <col min="1" max="1" width="10.3984375" style="19" bestFit="1" customWidth="1"/>
    <col min="2" max="2" width="11" style="23" bestFit="1" customWidth="1"/>
    <col min="3" max="3" width="9" style="19" bestFit="1" customWidth="1"/>
    <col min="4" max="4" width="8.59765625" style="19" bestFit="1" customWidth="1"/>
    <col min="5" max="5" width="9.73046875" style="19" bestFit="1" customWidth="1"/>
    <col min="6" max="6" width="5.73046875" style="19" bestFit="1" customWidth="1"/>
    <col min="7" max="7" width="9.1328125" style="19" bestFit="1" customWidth="1"/>
    <col min="8" max="8" width="8" style="19" bestFit="1" customWidth="1"/>
    <col min="9" max="9" width="9.73046875" style="19" bestFit="1" customWidth="1"/>
    <col min="10" max="10" width="8.1328125" style="74" bestFit="1" customWidth="1"/>
    <col min="11" max="12" width="8" style="19" bestFit="1" customWidth="1"/>
    <col min="13" max="13" width="9.73046875" style="19" bestFit="1" customWidth="1"/>
    <col min="14" max="14" width="11.3984375" style="19" bestFit="1" customWidth="1"/>
    <col min="15" max="15" width="9.265625" style="19" bestFit="1" customWidth="1"/>
    <col min="16" max="16" width="8" style="19" bestFit="1" customWidth="1"/>
    <col min="17" max="16384" width="9.1328125" style="19"/>
  </cols>
  <sheetData>
    <row r="1" spans="1:16" ht="132">
      <c r="A1" s="1" t="s">
        <v>45</v>
      </c>
      <c r="B1" s="2" t="s">
        <v>46</v>
      </c>
      <c r="C1" s="5" t="s">
        <v>47</v>
      </c>
      <c r="D1" s="5" t="s">
        <v>51</v>
      </c>
      <c r="E1" s="71" t="s">
        <v>0</v>
      </c>
      <c r="F1" s="4" t="s">
        <v>52</v>
      </c>
      <c r="G1" s="5" t="s">
        <v>56</v>
      </c>
      <c r="H1" s="7" t="s">
        <v>57</v>
      </c>
      <c r="I1" s="5" t="s">
        <v>59</v>
      </c>
      <c r="J1" s="73" t="s">
        <v>105</v>
      </c>
      <c r="K1" s="7" t="s">
        <v>60</v>
      </c>
      <c r="L1" s="7" t="s">
        <v>61</v>
      </c>
      <c r="M1" s="4" t="s">
        <v>62</v>
      </c>
      <c r="N1" s="9" t="s">
        <v>85</v>
      </c>
      <c r="O1" s="10" t="s">
        <v>86</v>
      </c>
      <c r="P1" s="7" t="s">
        <v>87</v>
      </c>
    </row>
    <row r="2" spans="1:16">
      <c r="A2" s="20" t="s">
        <v>29</v>
      </c>
      <c r="B2" s="21">
        <v>42740.5</v>
      </c>
      <c r="C2" s="84" t="s">
        <v>118</v>
      </c>
      <c r="D2" s="22">
        <v>6440</v>
      </c>
      <c r="E2" s="22">
        <v>1550</v>
      </c>
      <c r="F2" s="22">
        <v>7.32</v>
      </c>
      <c r="G2" s="22">
        <v>37.799999999999997</v>
      </c>
      <c r="H2" s="24">
        <f>0.5* 0.25</f>
        <v>0.125</v>
      </c>
      <c r="I2" s="22">
        <v>2780</v>
      </c>
      <c r="J2" s="28">
        <f>L2-K2</f>
        <v>0.995</v>
      </c>
      <c r="K2" s="24">
        <f t="shared" ref="K2:K7" si="0">0.5* 0.05</f>
        <v>2.5000000000000001E-2</v>
      </c>
      <c r="L2" s="22">
        <v>1.02</v>
      </c>
      <c r="M2" s="22">
        <v>965</v>
      </c>
      <c r="N2" s="22">
        <v>1.57</v>
      </c>
      <c r="O2" s="22">
        <v>5.5999999999999995E-4</v>
      </c>
      <c r="P2" s="22">
        <v>3.0700000000000002E-2</v>
      </c>
    </row>
    <row r="3" spans="1:16">
      <c r="A3" s="20" t="s">
        <v>29</v>
      </c>
      <c r="B3" s="21">
        <v>42774.5</v>
      </c>
      <c r="C3" s="84" t="s">
        <v>118</v>
      </c>
      <c r="D3" s="22">
        <v>6370</v>
      </c>
      <c r="E3" s="22">
        <v>1590</v>
      </c>
      <c r="F3" s="22">
        <v>7.58</v>
      </c>
      <c r="G3" s="22">
        <v>37.799999999999997</v>
      </c>
      <c r="H3" s="24">
        <f>0.5* 0.25</f>
        <v>0.125</v>
      </c>
      <c r="I3" s="22">
        <v>2750</v>
      </c>
      <c r="J3" s="28">
        <f t="shared" ref="J3:J13" si="1">L3-K3</f>
        <v>0.85899999999999999</v>
      </c>
      <c r="K3" s="24">
        <f t="shared" si="0"/>
        <v>2.5000000000000001E-2</v>
      </c>
      <c r="L3" s="22">
        <v>0.88400000000000001</v>
      </c>
      <c r="M3" s="22">
        <v>1000</v>
      </c>
      <c r="N3" s="22">
        <v>1.65</v>
      </c>
      <c r="O3" s="24">
        <f>0.5* 0.0005</f>
        <v>2.5000000000000001E-4</v>
      </c>
      <c r="P3" s="22">
        <v>3.1099999999999999E-2</v>
      </c>
    </row>
    <row r="4" spans="1:16">
      <c r="A4" s="20" t="s">
        <v>29</v>
      </c>
      <c r="B4" s="21">
        <v>42801.5</v>
      </c>
      <c r="C4" s="84" t="s">
        <v>118</v>
      </c>
      <c r="D4" s="22">
        <v>6290</v>
      </c>
      <c r="E4" s="22">
        <v>1660</v>
      </c>
      <c r="F4" s="22">
        <v>7.46</v>
      </c>
      <c r="G4" s="22">
        <v>42.3</v>
      </c>
      <c r="H4" s="24">
        <f>0.5* 0.25</f>
        <v>0.125</v>
      </c>
      <c r="I4" s="22">
        <v>2920</v>
      </c>
      <c r="J4" s="28">
        <f t="shared" si="1"/>
        <v>0.753</v>
      </c>
      <c r="K4" s="24">
        <f t="shared" si="0"/>
        <v>2.5000000000000001E-2</v>
      </c>
      <c r="L4" s="22">
        <v>0.77800000000000002</v>
      </c>
      <c r="M4" s="22">
        <v>1020</v>
      </c>
      <c r="N4" s="22">
        <v>1.65</v>
      </c>
      <c r="O4" s="24">
        <f t="shared" ref="O4:O10" si="2">0.5* 0.001</f>
        <v>5.0000000000000001E-4</v>
      </c>
      <c r="P4" s="24">
        <f>0.5* 0.06</f>
        <v>0.03</v>
      </c>
    </row>
    <row r="5" spans="1:16">
      <c r="A5" s="20" t="s">
        <v>29</v>
      </c>
      <c r="B5" s="21">
        <v>42837.5</v>
      </c>
      <c r="C5" s="84" t="s">
        <v>118</v>
      </c>
      <c r="D5" s="22">
        <v>5870</v>
      </c>
      <c r="E5" s="22">
        <v>1460</v>
      </c>
      <c r="F5" s="22">
        <v>7.45</v>
      </c>
      <c r="G5" s="22">
        <v>35.9</v>
      </c>
      <c r="H5" s="22">
        <v>0.28999999999999998</v>
      </c>
      <c r="I5" s="22">
        <v>2600</v>
      </c>
      <c r="J5" s="28">
        <f t="shared" si="1"/>
        <v>1.3050000000000002</v>
      </c>
      <c r="K5" s="24">
        <f t="shared" si="0"/>
        <v>2.5000000000000001E-2</v>
      </c>
      <c r="L5" s="22">
        <v>1.33</v>
      </c>
      <c r="M5" s="22">
        <v>750</v>
      </c>
      <c r="N5" s="22">
        <v>1.53</v>
      </c>
      <c r="O5" s="24">
        <f t="shared" si="2"/>
        <v>5.0000000000000001E-4</v>
      </c>
      <c r="P5" s="22">
        <v>0.23200000000000001</v>
      </c>
    </row>
    <row r="6" spans="1:16">
      <c r="A6" s="20" t="s">
        <v>29</v>
      </c>
      <c r="B6" s="21">
        <v>42865</v>
      </c>
      <c r="C6" s="84" t="s">
        <v>118</v>
      </c>
      <c r="D6" s="22">
        <v>5070</v>
      </c>
      <c r="E6" s="22">
        <v>1410</v>
      </c>
      <c r="F6" s="22">
        <v>7.64</v>
      </c>
      <c r="G6" s="22">
        <v>29.1</v>
      </c>
      <c r="H6" s="22">
        <v>0.19</v>
      </c>
      <c r="I6" s="22">
        <v>2390</v>
      </c>
      <c r="J6" s="28">
        <f t="shared" si="1"/>
        <v>1.0050000000000001</v>
      </c>
      <c r="K6" s="24">
        <f t="shared" si="0"/>
        <v>2.5000000000000001E-2</v>
      </c>
      <c r="L6" s="22">
        <v>1.03</v>
      </c>
      <c r="M6" s="22">
        <v>559</v>
      </c>
      <c r="N6" s="22">
        <v>1.29</v>
      </c>
      <c r="O6" s="24">
        <f t="shared" si="2"/>
        <v>5.0000000000000001E-4</v>
      </c>
      <c r="P6" s="22">
        <v>0.186</v>
      </c>
    </row>
    <row r="7" spans="1:16">
      <c r="A7" s="20" t="s">
        <v>29</v>
      </c>
      <c r="B7" s="21">
        <v>42893.5</v>
      </c>
      <c r="C7" s="84" t="s">
        <v>118</v>
      </c>
      <c r="D7" s="22">
        <v>5500</v>
      </c>
      <c r="E7" s="22">
        <v>1360</v>
      </c>
      <c r="F7" s="22">
        <v>7.57</v>
      </c>
      <c r="G7" s="22">
        <v>35.200000000000003</v>
      </c>
      <c r="H7" s="24">
        <f>0.5* 0.1</f>
        <v>0.05</v>
      </c>
      <c r="I7" s="22">
        <v>2360</v>
      </c>
      <c r="J7" s="28">
        <f t="shared" si="1"/>
        <v>0.751</v>
      </c>
      <c r="K7" s="24">
        <f t="shared" si="0"/>
        <v>2.5000000000000001E-2</v>
      </c>
      <c r="L7" s="22">
        <v>0.77600000000000002</v>
      </c>
      <c r="M7" s="22">
        <v>1320</v>
      </c>
      <c r="N7" s="22">
        <v>1.33</v>
      </c>
      <c r="O7" s="24">
        <f t="shared" si="2"/>
        <v>5.0000000000000001E-4</v>
      </c>
      <c r="P7" s="24">
        <f>0.5* 0.05</f>
        <v>2.5000000000000001E-2</v>
      </c>
    </row>
    <row r="8" spans="1:16">
      <c r="A8" s="20" t="s">
        <v>29</v>
      </c>
      <c r="B8" s="21">
        <v>42928.5</v>
      </c>
      <c r="C8" s="84" t="s">
        <v>118</v>
      </c>
      <c r="D8" s="22">
        <v>5690</v>
      </c>
      <c r="E8" s="22">
        <v>1340</v>
      </c>
      <c r="F8" s="22">
        <v>7.74</v>
      </c>
      <c r="G8" s="22">
        <v>37.1</v>
      </c>
      <c r="H8" s="24">
        <f>0.5* 0.25</f>
        <v>0.125</v>
      </c>
      <c r="I8" s="22">
        <v>2530</v>
      </c>
      <c r="J8" s="28">
        <f t="shared" si="1"/>
        <v>0.72799999999999998</v>
      </c>
      <c r="K8" s="22">
        <v>5.8999999999999997E-2</v>
      </c>
      <c r="L8" s="22">
        <v>0.78700000000000003</v>
      </c>
      <c r="M8" s="22">
        <v>758</v>
      </c>
      <c r="N8" s="22">
        <v>1.45</v>
      </c>
      <c r="O8" s="24">
        <f t="shared" si="2"/>
        <v>5.0000000000000001E-4</v>
      </c>
      <c r="P8" s="24">
        <f>0.5* 0.05</f>
        <v>2.5000000000000001E-2</v>
      </c>
    </row>
    <row r="9" spans="1:16">
      <c r="A9" s="20" t="s">
        <v>29</v>
      </c>
      <c r="B9" s="21">
        <v>42956.5</v>
      </c>
      <c r="C9" s="84" t="s">
        <v>118</v>
      </c>
      <c r="D9" s="22">
        <v>6060</v>
      </c>
      <c r="E9" s="22">
        <v>1460</v>
      </c>
      <c r="F9" s="22">
        <v>7.37</v>
      </c>
      <c r="G9" s="22">
        <v>39.9</v>
      </c>
      <c r="H9" s="24">
        <f>0.5* 0.25</f>
        <v>0.125</v>
      </c>
      <c r="I9" s="22">
        <v>2660</v>
      </c>
      <c r="J9" s="28">
        <f t="shared" si="1"/>
        <v>0.71599999999999997</v>
      </c>
      <c r="K9" s="22">
        <v>5.0999999999999997E-2</v>
      </c>
      <c r="L9" s="22">
        <v>0.76700000000000002</v>
      </c>
      <c r="M9" s="22">
        <v>831</v>
      </c>
      <c r="N9" s="22">
        <v>1.35</v>
      </c>
      <c r="O9" s="24">
        <f t="shared" si="2"/>
        <v>5.0000000000000001E-4</v>
      </c>
      <c r="P9" s="22">
        <v>9.8000000000000004E-2</v>
      </c>
    </row>
    <row r="10" spans="1:16">
      <c r="A10" s="20" t="s">
        <v>29</v>
      </c>
      <c r="B10" s="21">
        <v>42984</v>
      </c>
      <c r="C10" s="84" t="s">
        <v>118</v>
      </c>
      <c r="D10" s="22">
        <v>6010</v>
      </c>
      <c r="E10" s="22">
        <v>1550</v>
      </c>
      <c r="F10" s="22">
        <v>7.75</v>
      </c>
      <c r="G10" s="22">
        <v>36.299999999999997</v>
      </c>
      <c r="H10" s="24">
        <f>0.5* 0.25</f>
        <v>0.125</v>
      </c>
      <c r="I10" s="22">
        <v>2550</v>
      </c>
      <c r="J10" s="28">
        <f t="shared" si="1"/>
        <v>0.76600000000000001</v>
      </c>
      <c r="K10" s="24">
        <f>0.5* 0.05</f>
        <v>2.5000000000000001E-2</v>
      </c>
      <c r="L10" s="22">
        <v>0.79100000000000004</v>
      </c>
      <c r="M10" s="22">
        <v>819</v>
      </c>
      <c r="N10" s="22">
        <v>1.58</v>
      </c>
      <c r="O10" s="24">
        <f t="shared" si="2"/>
        <v>5.0000000000000001E-4</v>
      </c>
      <c r="P10" s="24">
        <f>0.5* 0.05</f>
        <v>2.5000000000000001E-2</v>
      </c>
    </row>
    <row r="11" spans="1:16">
      <c r="A11" s="20" t="s">
        <v>29</v>
      </c>
      <c r="B11" s="21">
        <v>43019.5</v>
      </c>
      <c r="C11" s="84" t="s">
        <v>118</v>
      </c>
      <c r="D11" s="22">
        <v>6170</v>
      </c>
      <c r="E11" s="22">
        <v>1480</v>
      </c>
      <c r="F11" s="22">
        <v>7.33</v>
      </c>
      <c r="G11" s="22">
        <v>41.8</v>
      </c>
      <c r="H11" s="24">
        <f>0.5* 0.1</f>
        <v>0.05</v>
      </c>
      <c r="I11" s="22">
        <v>2750</v>
      </c>
      <c r="J11" s="28">
        <f t="shared" si="1"/>
        <v>0.77800000000000002</v>
      </c>
      <c r="K11" s="22">
        <v>6.0999999999999999E-2</v>
      </c>
      <c r="L11" s="22">
        <v>0.83899999999999997</v>
      </c>
      <c r="M11" s="22">
        <v>885</v>
      </c>
      <c r="N11" s="22">
        <v>1.52</v>
      </c>
      <c r="O11" s="24">
        <f>0.5* 0.0004</f>
        <v>2.0000000000000001E-4</v>
      </c>
      <c r="P11" s="24">
        <f>0.5* 0.04</f>
        <v>0.02</v>
      </c>
    </row>
    <row r="12" spans="1:16">
      <c r="A12" s="20" t="s">
        <v>29</v>
      </c>
      <c r="B12" s="21">
        <v>43047.5</v>
      </c>
      <c r="C12" s="84" t="s">
        <v>118</v>
      </c>
      <c r="D12" s="22">
        <v>5820</v>
      </c>
      <c r="E12" s="22">
        <v>1530</v>
      </c>
      <c r="F12" s="22">
        <v>7.66</v>
      </c>
      <c r="G12" s="22">
        <v>36.200000000000003</v>
      </c>
      <c r="H12" s="24">
        <f>0.5* 0.25</f>
        <v>0.125</v>
      </c>
      <c r="I12" s="22">
        <v>2600</v>
      </c>
      <c r="J12" s="28">
        <f t="shared" si="1"/>
        <v>0.51700000000000002</v>
      </c>
      <c r="K12" s="22">
        <v>3.7999999999999999E-2</v>
      </c>
      <c r="L12" s="22">
        <v>0.55500000000000005</v>
      </c>
      <c r="M12" s="22">
        <v>912</v>
      </c>
      <c r="N12" s="22">
        <v>1.58</v>
      </c>
      <c r="O12" s="24">
        <f>0.5* 0.001</f>
        <v>5.0000000000000001E-4</v>
      </c>
      <c r="P12" s="24">
        <f>0.5* 0.05</f>
        <v>2.5000000000000001E-2</v>
      </c>
    </row>
    <row r="13" spans="1:16">
      <c r="A13" s="20" t="s">
        <v>29</v>
      </c>
      <c r="B13" s="21">
        <v>43075.5</v>
      </c>
      <c r="C13" s="84" t="s">
        <v>118</v>
      </c>
      <c r="D13" s="22">
        <v>6000</v>
      </c>
      <c r="E13" s="22">
        <v>1460</v>
      </c>
      <c r="F13" s="22">
        <v>7.47</v>
      </c>
      <c r="G13" s="22">
        <v>38.200000000000003</v>
      </c>
      <c r="H13" s="24">
        <f>0.5* 0.25</f>
        <v>0.125</v>
      </c>
      <c r="I13" s="22">
        <v>2560</v>
      </c>
      <c r="J13" s="28">
        <f t="shared" si="1"/>
        <v>0.53800000000000003</v>
      </c>
      <c r="K13" s="24">
        <f>0.5* 0.01</f>
        <v>5.0000000000000001E-3</v>
      </c>
      <c r="L13" s="22">
        <v>0.54300000000000004</v>
      </c>
      <c r="M13" s="22">
        <v>886</v>
      </c>
      <c r="N13" s="22">
        <v>1.6</v>
      </c>
      <c r="O13" s="24">
        <f>0.5* 0.001</f>
        <v>5.0000000000000001E-4</v>
      </c>
      <c r="P13" s="22">
        <v>0.05</v>
      </c>
    </row>
    <row r="14" spans="1:16">
      <c r="A14" s="14"/>
      <c r="B14" s="15" t="s">
        <v>100</v>
      </c>
      <c r="C14" s="85" t="s">
        <v>96</v>
      </c>
      <c r="D14" s="16">
        <f t="shared" ref="D14:P14" si="3">MIN(D2:D13)</f>
        <v>5070</v>
      </c>
      <c r="E14" s="16">
        <f t="shared" si="3"/>
        <v>1340</v>
      </c>
      <c r="F14" s="30">
        <f t="shared" si="3"/>
        <v>7.32</v>
      </c>
      <c r="G14" s="29">
        <f t="shared" si="3"/>
        <v>29.1</v>
      </c>
      <c r="H14" s="31">
        <f t="shared" si="3"/>
        <v>0.05</v>
      </c>
      <c r="I14" s="30">
        <f t="shared" si="3"/>
        <v>2360</v>
      </c>
      <c r="J14" s="64">
        <f t="shared" si="3"/>
        <v>0.51700000000000002</v>
      </c>
      <c r="K14" s="31">
        <f t="shared" si="3"/>
        <v>5.0000000000000001E-3</v>
      </c>
      <c r="L14" s="37">
        <f t="shared" si="3"/>
        <v>0.54300000000000004</v>
      </c>
      <c r="M14" s="30">
        <f t="shared" si="3"/>
        <v>559</v>
      </c>
      <c r="N14" s="37">
        <f t="shared" si="3"/>
        <v>1.29</v>
      </c>
      <c r="O14" s="38">
        <f t="shared" si="3"/>
        <v>2.0000000000000001E-4</v>
      </c>
      <c r="P14" s="31">
        <f t="shared" si="3"/>
        <v>0.02</v>
      </c>
    </row>
    <row r="15" spans="1:16">
      <c r="A15" s="14"/>
      <c r="B15" s="15" t="s">
        <v>101</v>
      </c>
      <c r="C15" s="85" t="s">
        <v>96</v>
      </c>
      <c r="D15" s="16">
        <f t="shared" ref="D15:P15" si="4">MAX(D2:D13)</f>
        <v>6440</v>
      </c>
      <c r="E15" s="16">
        <f t="shared" si="4"/>
        <v>1660</v>
      </c>
      <c r="F15" s="30">
        <f t="shared" si="4"/>
        <v>7.75</v>
      </c>
      <c r="G15" s="29">
        <f t="shared" si="4"/>
        <v>42.3</v>
      </c>
      <c r="H15" s="31">
        <f t="shared" si="4"/>
        <v>0.28999999999999998</v>
      </c>
      <c r="I15" s="30">
        <f t="shared" si="4"/>
        <v>2920</v>
      </c>
      <c r="J15" s="64">
        <f t="shared" si="4"/>
        <v>1.3050000000000002</v>
      </c>
      <c r="K15" s="31">
        <f t="shared" si="4"/>
        <v>6.0999999999999999E-2</v>
      </c>
      <c r="L15" s="37">
        <f t="shared" si="4"/>
        <v>1.33</v>
      </c>
      <c r="M15" s="30">
        <f t="shared" si="4"/>
        <v>1320</v>
      </c>
      <c r="N15" s="37">
        <f t="shared" si="4"/>
        <v>1.65</v>
      </c>
      <c r="O15" s="38">
        <f t="shared" si="4"/>
        <v>5.5999999999999995E-4</v>
      </c>
      <c r="P15" s="31">
        <f t="shared" si="4"/>
        <v>0.23200000000000001</v>
      </c>
    </row>
    <row r="16" spans="1:16">
      <c r="A16" s="14"/>
      <c r="B16" s="15" t="s">
        <v>102</v>
      </c>
      <c r="C16" s="85" t="s">
        <v>96</v>
      </c>
      <c r="D16" s="16">
        <f t="shared" ref="D16:P16" si="5">AVERAGE(D2:D13)</f>
        <v>5940.833333333333</v>
      </c>
      <c r="E16" s="16">
        <f t="shared" si="5"/>
        <v>1487.5</v>
      </c>
      <c r="F16" s="30">
        <f t="shared" si="5"/>
        <v>7.5283333333333324</v>
      </c>
      <c r="G16" s="29">
        <f t="shared" si="5"/>
        <v>37.299999999999997</v>
      </c>
      <c r="H16" s="31">
        <f t="shared" si="5"/>
        <v>0.13166666666666668</v>
      </c>
      <c r="I16" s="30">
        <f t="shared" si="5"/>
        <v>2620.8333333333335</v>
      </c>
      <c r="J16" s="64">
        <f t="shared" si="5"/>
        <v>0.80925000000000002</v>
      </c>
      <c r="K16" s="31">
        <f t="shared" si="5"/>
        <v>3.241666666666667E-2</v>
      </c>
      <c r="L16" s="37">
        <f t="shared" si="5"/>
        <v>0.84166666666666667</v>
      </c>
      <c r="M16" s="30">
        <f t="shared" si="5"/>
        <v>892.08333333333337</v>
      </c>
      <c r="N16" s="37">
        <f t="shared" si="5"/>
        <v>1.5083333333333335</v>
      </c>
      <c r="O16" s="38">
        <f t="shared" si="5"/>
        <v>4.5916666666666659E-4</v>
      </c>
      <c r="P16" s="31">
        <f t="shared" si="5"/>
        <v>6.4816666666666675E-2</v>
      </c>
    </row>
    <row r="17" spans="1:16">
      <c r="A17" s="14"/>
      <c r="B17" s="15" t="s">
        <v>103</v>
      </c>
      <c r="C17" s="85" t="s">
        <v>96</v>
      </c>
      <c r="D17" s="16">
        <f t="shared" ref="D17:P17" si="6">_xlfn.STDEV.P(D2:D13)</f>
        <v>372.54660409433637</v>
      </c>
      <c r="E17" s="16">
        <f t="shared" si="6"/>
        <v>89.547473442861573</v>
      </c>
      <c r="F17" s="30">
        <f t="shared" si="6"/>
        <v>0.14438567180375694</v>
      </c>
      <c r="G17" s="29">
        <f t="shared" si="6"/>
        <v>3.2810059433045824</v>
      </c>
      <c r="H17" s="31">
        <f t="shared" si="6"/>
        <v>5.9278064145929094E-2</v>
      </c>
      <c r="I17" s="30">
        <f t="shared" si="6"/>
        <v>155.15896865974443</v>
      </c>
      <c r="J17" s="64">
        <f t="shared" si="6"/>
        <v>0.20509190013259895</v>
      </c>
      <c r="K17" s="31">
        <f t="shared" si="6"/>
        <v>1.5908374803508023E-2</v>
      </c>
      <c r="L17" s="37">
        <f t="shared" si="6"/>
        <v>0.20380069239878035</v>
      </c>
      <c r="M17" s="30">
        <f t="shared" si="6"/>
        <v>176.80142266270244</v>
      </c>
      <c r="N17" s="37">
        <f t="shared" si="6"/>
        <v>0.11943152384897751</v>
      </c>
      <c r="O17" s="38">
        <f t="shared" si="6"/>
        <v>1.0649400087433197E-4</v>
      </c>
      <c r="P17" s="31">
        <f t="shared" si="6"/>
        <v>6.8202698301134346E-2</v>
      </c>
    </row>
    <row r="18" spans="1:16" ht="12.75" customHeight="1">
      <c r="A18" s="17"/>
      <c r="B18" s="131" t="s">
        <v>112</v>
      </c>
      <c r="C18" s="130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</row>
    <row r="19" spans="1:16" ht="12.75" customHeight="1">
      <c r="A19" s="17"/>
      <c r="B19" s="130" t="s">
        <v>117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</row>
    <row r="20" spans="1:16" ht="12.75" customHeight="1">
      <c r="A20" s="17"/>
      <c r="B20" s="130" t="s">
        <v>114</v>
      </c>
      <c r="C20" s="130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</row>
    <row r="21" spans="1:16" ht="12.75" customHeight="1">
      <c r="A21" s="17"/>
      <c r="B21" s="130" t="s">
        <v>108</v>
      </c>
      <c r="C21" s="130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</row>
    <row r="22" spans="1:16" ht="12.75" customHeight="1">
      <c r="A22" s="18"/>
      <c r="B22" s="130" t="s">
        <v>115</v>
      </c>
      <c r="C22" s="130"/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</row>
    <row r="23" spans="1:16" ht="12.75" customHeight="1">
      <c r="A23" s="18"/>
      <c r="B23" s="130" t="s">
        <v>109</v>
      </c>
      <c r="C23" s="130"/>
      <c r="D23" s="130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</row>
    <row r="24" spans="1:16" ht="12.75" customHeight="1"/>
  </sheetData>
  <mergeCells count="6">
    <mergeCell ref="B23:P23"/>
    <mergeCell ref="B18:P18"/>
    <mergeCell ref="B19:P19"/>
    <mergeCell ref="B20:P20"/>
    <mergeCell ref="B21:P21"/>
    <mergeCell ref="B22:P22"/>
  </mergeCells>
  <printOptions horizontalCentered="1"/>
  <pageMargins left="0.25" right="0.25" top="1.0833333333333299" bottom="0.75" header="0.3" footer="0.3"/>
  <pageSetup orientation="landscape" r:id="rId1"/>
  <headerFooter alignWithMargins="0">
    <oddHeader>&amp;LBarrick Gold Inc. - Nickel Plate Mine&amp;C&amp;"-,Regular"&amp;18
Table 37 - W3_WELL Data&amp;RAnnual Report, 2017</oddHead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P24"/>
  <sheetViews>
    <sheetView view="pageLayout" zoomScaleNormal="100" workbookViewId="0">
      <selection activeCell="B33" sqref="B33"/>
    </sheetView>
  </sheetViews>
  <sheetFormatPr defaultColWidth="9.1328125" defaultRowHeight="15.75"/>
  <cols>
    <col min="1" max="1" width="10.3984375" style="19" customWidth="1"/>
    <col min="2" max="2" width="11" style="23" customWidth="1"/>
    <col min="3" max="3" width="8.1328125" style="19" bestFit="1" customWidth="1"/>
    <col min="4" max="5" width="6.86328125" style="19" bestFit="1" customWidth="1"/>
    <col min="6" max="6" width="5.73046875" style="19" customWidth="1"/>
    <col min="7" max="7" width="5.73046875" style="19" bestFit="1" customWidth="1"/>
    <col min="8" max="8" width="7" style="19" bestFit="1" customWidth="1"/>
    <col min="9" max="9" width="6.86328125" style="19" bestFit="1" customWidth="1"/>
    <col min="10" max="10" width="7.265625" style="74" bestFit="1" customWidth="1"/>
    <col min="11" max="12" width="8" style="19" customWidth="1"/>
    <col min="13" max="13" width="6.86328125" style="19" bestFit="1" customWidth="1"/>
    <col min="14" max="14" width="5.73046875" style="19" bestFit="1" customWidth="1"/>
    <col min="15" max="15" width="9.1328125" style="19" bestFit="1" customWidth="1"/>
    <col min="16" max="16" width="8" style="19" customWidth="1"/>
    <col min="17" max="16384" width="9.1328125" style="19"/>
  </cols>
  <sheetData>
    <row r="1" spans="1:16" ht="132">
      <c r="A1" s="1" t="s">
        <v>45</v>
      </c>
      <c r="B1" s="2" t="s">
        <v>46</v>
      </c>
      <c r="C1" s="5" t="s">
        <v>47</v>
      </c>
      <c r="D1" s="5" t="s">
        <v>51</v>
      </c>
      <c r="E1" s="71" t="s">
        <v>0</v>
      </c>
      <c r="F1" s="4" t="s">
        <v>52</v>
      </c>
      <c r="G1" s="5" t="s">
        <v>56</v>
      </c>
      <c r="H1" s="7" t="s">
        <v>57</v>
      </c>
      <c r="I1" s="5" t="s">
        <v>59</v>
      </c>
      <c r="J1" s="73" t="s">
        <v>105</v>
      </c>
      <c r="K1" s="7" t="s">
        <v>60</v>
      </c>
      <c r="L1" s="7" t="s">
        <v>61</v>
      </c>
      <c r="M1" s="4" t="s">
        <v>62</v>
      </c>
      <c r="N1" s="9" t="s">
        <v>85</v>
      </c>
      <c r="O1" s="10" t="s">
        <v>86</v>
      </c>
      <c r="P1" s="7" t="s">
        <v>87</v>
      </c>
    </row>
    <row r="2" spans="1:16">
      <c r="A2" s="20" t="s">
        <v>30</v>
      </c>
      <c r="B2" s="21">
        <v>42740.5</v>
      </c>
      <c r="C2" s="84" t="s">
        <v>118</v>
      </c>
      <c r="D2" s="22">
        <v>6790</v>
      </c>
      <c r="E2" s="22">
        <v>1560</v>
      </c>
      <c r="F2" s="22">
        <v>7.59</v>
      </c>
      <c r="G2" s="22">
        <v>59.6</v>
      </c>
      <c r="H2" s="24">
        <f t="shared" ref="H2:H10" si="0">0.5* 0.25</f>
        <v>0.125</v>
      </c>
      <c r="I2" s="22">
        <v>2430</v>
      </c>
      <c r="J2" s="28">
        <f>L2-K2</f>
        <v>1.31</v>
      </c>
      <c r="K2" s="24">
        <f>0.5* 0.1</f>
        <v>0.05</v>
      </c>
      <c r="L2" s="22">
        <v>1.36</v>
      </c>
      <c r="M2" s="22">
        <v>1340</v>
      </c>
      <c r="N2" s="22">
        <v>2.23</v>
      </c>
      <c r="O2" s="22">
        <v>1.15E-3</v>
      </c>
      <c r="P2" s="22">
        <v>2.8799999999999999E-2</v>
      </c>
    </row>
    <row r="3" spans="1:16">
      <c r="A3" s="20" t="s">
        <v>30</v>
      </c>
      <c r="B3" s="21">
        <v>42774.5</v>
      </c>
      <c r="C3" s="84" t="s">
        <v>118</v>
      </c>
      <c r="D3" s="22">
        <v>6790</v>
      </c>
      <c r="E3" s="22">
        <v>1550</v>
      </c>
      <c r="F3" s="22">
        <v>7.7</v>
      </c>
      <c r="G3" s="22">
        <v>58.6</v>
      </c>
      <c r="H3" s="24">
        <f t="shared" si="0"/>
        <v>0.125</v>
      </c>
      <c r="I3" s="22">
        <v>2630</v>
      </c>
      <c r="J3" s="28">
        <f t="shared" ref="J3:J13" si="1">L3-K3</f>
        <v>1.21</v>
      </c>
      <c r="K3" s="24">
        <f>0.5* 0.1</f>
        <v>0.05</v>
      </c>
      <c r="L3" s="22">
        <v>1.26</v>
      </c>
      <c r="M3" s="22">
        <v>1510</v>
      </c>
      <c r="N3" s="22">
        <v>2.39</v>
      </c>
      <c r="O3" s="22">
        <v>1.07E-3</v>
      </c>
      <c r="P3" s="22">
        <v>2.6499999999999999E-2</v>
      </c>
    </row>
    <row r="4" spans="1:16">
      <c r="A4" s="20" t="s">
        <v>30</v>
      </c>
      <c r="B4" s="21">
        <v>42801.5</v>
      </c>
      <c r="C4" s="84" t="s">
        <v>118</v>
      </c>
      <c r="D4" s="22">
        <v>6320</v>
      </c>
      <c r="E4" s="22">
        <v>1660</v>
      </c>
      <c r="F4" s="22">
        <v>7.61</v>
      </c>
      <c r="G4" s="22">
        <v>61.6</v>
      </c>
      <c r="H4" s="24">
        <f t="shared" si="0"/>
        <v>0.125</v>
      </c>
      <c r="I4" s="22">
        <v>2470</v>
      </c>
      <c r="J4" s="28">
        <f t="shared" si="1"/>
        <v>0.82</v>
      </c>
      <c r="K4" s="24">
        <f>0.5* 0.1</f>
        <v>0.05</v>
      </c>
      <c r="L4" s="22">
        <v>0.87</v>
      </c>
      <c r="M4" s="22">
        <v>1470</v>
      </c>
      <c r="N4" s="22">
        <v>2.2999999999999998</v>
      </c>
      <c r="O4" s="22">
        <v>1E-3</v>
      </c>
      <c r="P4" s="24">
        <f>0.5* 0.06</f>
        <v>0.03</v>
      </c>
    </row>
    <row r="5" spans="1:16">
      <c r="A5" s="20" t="s">
        <v>30</v>
      </c>
      <c r="B5" s="21">
        <v>42837.5</v>
      </c>
      <c r="C5" s="84" t="s">
        <v>118</v>
      </c>
      <c r="D5" s="22">
        <v>6800</v>
      </c>
      <c r="E5" s="22">
        <v>1590</v>
      </c>
      <c r="F5" s="22">
        <v>7.65</v>
      </c>
      <c r="G5" s="22">
        <v>58.9</v>
      </c>
      <c r="H5" s="24">
        <f t="shared" si="0"/>
        <v>0.125</v>
      </c>
      <c r="I5" s="22">
        <v>2570</v>
      </c>
      <c r="J5" s="28">
        <f t="shared" si="1"/>
        <v>1.1499999999999999</v>
      </c>
      <c r="K5" s="24">
        <f>0.5* 0.1</f>
        <v>0.05</v>
      </c>
      <c r="L5" s="22">
        <v>1.2</v>
      </c>
      <c r="M5" s="22">
        <v>1370</v>
      </c>
      <c r="N5" s="22">
        <v>2.48</v>
      </c>
      <c r="O5" s="22">
        <v>1.1000000000000001E-3</v>
      </c>
      <c r="P5" s="24">
        <f>0.5* 0.05</f>
        <v>2.5000000000000001E-2</v>
      </c>
    </row>
    <row r="6" spans="1:16">
      <c r="A6" s="20" t="s">
        <v>30</v>
      </c>
      <c r="B6" s="21">
        <v>42865</v>
      </c>
      <c r="C6" s="84" t="s">
        <v>118</v>
      </c>
      <c r="D6" s="22">
        <v>6770</v>
      </c>
      <c r="E6" s="22">
        <v>1700</v>
      </c>
      <c r="F6" s="22">
        <v>7.67</v>
      </c>
      <c r="G6" s="22">
        <v>60.2</v>
      </c>
      <c r="H6" s="24">
        <f t="shared" si="0"/>
        <v>0.125</v>
      </c>
      <c r="I6" s="22">
        <v>2590</v>
      </c>
      <c r="J6" s="28">
        <f t="shared" si="1"/>
        <v>1.32</v>
      </c>
      <c r="K6" s="22">
        <v>0.19</v>
      </c>
      <c r="L6" s="22">
        <v>1.51</v>
      </c>
      <c r="M6" s="22">
        <v>1380</v>
      </c>
      <c r="N6" s="22">
        <v>2.4500000000000002</v>
      </c>
      <c r="O6" s="22">
        <v>1.2999999999999999E-3</v>
      </c>
      <c r="P6" s="24">
        <f>0.5* 0.05</f>
        <v>2.5000000000000001E-2</v>
      </c>
    </row>
    <row r="7" spans="1:16">
      <c r="A7" s="20" t="s">
        <v>30</v>
      </c>
      <c r="B7" s="21">
        <v>42893.5</v>
      </c>
      <c r="C7" s="84" t="s">
        <v>118</v>
      </c>
      <c r="D7" s="22">
        <v>6940</v>
      </c>
      <c r="E7" s="22">
        <v>1650</v>
      </c>
      <c r="F7" s="22">
        <v>7.69</v>
      </c>
      <c r="G7" s="22">
        <v>61.5</v>
      </c>
      <c r="H7" s="24">
        <f t="shared" si="0"/>
        <v>0.125</v>
      </c>
      <c r="I7" s="22">
        <v>2550</v>
      </c>
      <c r="J7" s="28">
        <f t="shared" si="1"/>
        <v>1.3299999999999998</v>
      </c>
      <c r="K7" s="24">
        <f>0.5* 0.1</f>
        <v>0.05</v>
      </c>
      <c r="L7" s="22">
        <v>1.38</v>
      </c>
      <c r="M7" s="22">
        <v>2790</v>
      </c>
      <c r="N7" s="22">
        <v>2.59</v>
      </c>
      <c r="O7" s="24">
        <f>0.5* 0.001</f>
        <v>5.0000000000000001E-4</v>
      </c>
      <c r="P7" s="24">
        <f>0.5* 0.05</f>
        <v>2.5000000000000001E-2</v>
      </c>
    </row>
    <row r="8" spans="1:16">
      <c r="A8" s="20" t="s">
        <v>30</v>
      </c>
      <c r="B8" s="21">
        <v>42928.5</v>
      </c>
      <c r="C8" s="84" t="s">
        <v>118</v>
      </c>
      <c r="D8" s="22">
        <v>6770</v>
      </c>
      <c r="E8" s="22">
        <v>1590</v>
      </c>
      <c r="F8" s="22">
        <v>7.82</v>
      </c>
      <c r="G8" s="22">
        <v>63.2</v>
      </c>
      <c r="H8" s="24">
        <f t="shared" si="0"/>
        <v>0.125</v>
      </c>
      <c r="I8" s="22">
        <v>2510</v>
      </c>
      <c r="J8" s="28">
        <f t="shared" si="1"/>
        <v>1.2999999999999998</v>
      </c>
      <c r="K8" s="22">
        <v>0.13</v>
      </c>
      <c r="L8" s="22">
        <v>1.43</v>
      </c>
      <c r="M8" s="22">
        <v>1610</v>
      </c>
      <c r="N8" s="22">
        <v>2.37</v>
      </c>
      <c r="O8" s="22">
        <v>1.1999999999999999E-3</v>
      </c>
      <c r="P8" s="24">
        <f>0.5* 0.05</f>
        <v>2.5000000000000001E-2</v>
      </c>
    </row>
    <row r="9" spans="1:16">
      <c r="A9" s="20" t="s">
        <v>30</v>
      </c>
      <c r="B9" s="21">
        <v>42956.5</v>
      </c>
      <c r="C9" s="84" t="s">
        <v>118</v>
      </c>
      <c r="D9" s="22">
        <v>6910</v>
      </c>
      <c r="E9" s="22">
        <v>1620</v>
      </c>
      <c r="F9" s="22">
        <v>7.67</v>
      </c>
      <c r="G9" s="22">
        <v>59.4</v>
      </c>
      <c r="H9" s="24">
        <f t="shared" si="0"/>
        <v>0.125</v>
      </c>
      <c r="I9" s="22">
        <v>2660</v>
      </c>
      <c r="J9" s="28">
        <f t="shared" si="1"/>
        <v>1.23</v>
      </c>
      <c r="K9" s="24">
        <f>0.5* 0.1</f>
        <v>0.05</v>
      </c>
      <c r="L9" s="22">
        <v>1.28</v>
      </c>
      <c r="M9" s="22">
        <v>1530</v>
      </c>
      <c r="N9" s="22">
        <v>2.23</v>
      </c>
      <c r="O9" s="24">
        <f>0.5* 0.001</f>
        <v>5.0000000000000001E-4</v>
      </c>
      <c r="P9" s="24">
        <f>0.5* 0.05</f>
        <v>2.5000000000000001E-2</v>
      </c>
    </row>
    <row r="10" spans="1:16">
      <c r="A10" s="20" t="s">
        <v>30</v>
      </c>
      <c r="B10" s="21">
        <v>42984</v>
      </c>
      <c r="C10" s="84" t="s">
        <v>118</v>
      </c>
      <c r="D10" s="22">
        <v>6830</v>
      </c>
      <c r="E10" s="22">
        <v>1710</v>
      </c>
      <c r="F10" s="22">
        <v>7.56</v>
      </c>
      <c r="G10" s="22">
        <v>60.5</v>
      </c>
      <c r="H10" s="24">
        <f t="shared" si="0"/>
        <v>0.125</v>
      </c>
      <c r="I10" s="22">
        <v>2480</v>
      </c>
      <c r="J10" s="28">
        <f t="shared" si="1"/>
        <v>1.06</v>
      </c>
      <c r="K10" s="24">
        <f>0.5* 0.1</f>
        <v>0.05</v>
      </c>
      <c r="L10" s="22">
        <v>1.1100000000000001</v>
      </c>
      <c r="M10" s="22">
        <v>1500</v>
      </c>
      <c r="N10" s="22">
        <v>2.48</v>
      </c>
      <c r="O10" s="24">
        <f>0.5* 0.001</f>
        <v>5.0000000000000001E-4</v>
      </c>
      <c r="P10" s="22">
        <v>7.0000000000000007E-2</v>
      </c>
    </row>
    <row r="11" spans="1:16">
      <c r="A11" s="20" t="s">
        <v>30</v>
      </c>
      <c r="B11" s="21">
        <v>43019.5</v>
      </c>
      <c r="C11" s="84" t="s">
        <v>118</v>
      </c>
      <c r="D11" s="22">
        <v>6800</v>
      </c>
      <c r="E11" s="22">
        <v>1510</v>
      </c>
      <c r="F11" s="22">
        <v>7.65</v>
      </c>
      <c r="G11" s="22">
        <v>61.2</v>
      </c>
      <c r="H11" s="24">
        <f>0.5* 0.1</f>
        <v>0.05</v>
      </c>
      <c r="I11" s="22">
        <v>2610</v>
      </c>
      <c r="J11" s="28">
        <f t="shared" si="1"/>
        <v>1.4590000000000001</v>
      </c>
      <c r="K11" s="22">
        <v>8.1000000000000003E-2</v>
      </c>
      <c r="L11" s="22">
        <v>1.54</v>
      </c>
      <c r="M11" s="22">
        <v>1470</v>
      </c>
      <c r="N11" s="22">
        <v>2.35</v>
      </c>
      <c r="O11" s="22">
        <v>1.2099999999999999E-3</v>
      </c>
      <c r="P11" s="22">
        <v>7.1999999999999995E-2</v>
      </c>
    </row>
    <row r="12" spans="1:16">
      <c r="A12" s="20" t="s">
        <v>30</v>
      </c>
      <c r="B12" s="21">
        <v>43047.5</v>
      </c>
      <c r="C12" s="84" t="s">
        <v>118</v>
      </c>
      <c r="D12" s="22">
        <v>6530</v>
      </c>
      <c r="E12" s="22">
        <v>1680</v>
      </c>
      <c r="F12" s="22">
        <v>7.74</v>
      </c>
      <c r="G12" s="22">
        <v>57</v>
      </c>
      <c r="H12" s="24">
        <f>0.5* 0.25</f>
        <v>0.125</v>
      </c>
      <c r="I12" s="22">
        <v>2130</v>
      </c>
      <c r="J12" s="28">
        <f t="shared" si="1"/>
        <v>0.89999999999999991</v>
      </c>
      <c r="K12" s="22">
        <v>3.9E-2</v>
      </c>
      <c r="L12" s="22">
        <v>0.93899999999999995</v>
      </c>
      <c r="M12" s="22">
        <v>1510</v>
      </c>
      <c r="N12" s="22">
        <v>2.41</v>
      </c>
      <c r="O12" s="24">
        <f>0.5* 0.001</f>
        <v>5.0000000000000001E-4</v>
      </c>
      <c r="P12" s="24">
        <f>0.5* 0.05</f>
        <v>2.5000000000000001E-2</v>
      </c>
    </row>
    <row r="13" spans="1:16">
      <c r="A13" s="20" t="s">
        <v>30</v>
      </c>
      <c r="B13" s="21">
        <v>43075.5</v>
      </c>
      <c r="C13" s="84" t="s">
        <v>118</v>
      </c>
      <c r="D13" s="22">
        <v>6600</v>
      </c>
      <c r="E13" s="22">
        <v>1450</v>
      </c>
      <c r="F13" s="22">
        <v>7.66</v>
      </c>
      <c r="G13" s="22">
        <v>56.9</v>
      </c>
      <c r="H13" s="24">
        <f>0.5* 0.25</f>
        <v>0.125</v>
      </c>
      <c r="I13" s="22">
        <v>2240</v>
      </c>
      <c r="J13" s="28">
        <f t="shared" si="1"/>
        <v>0.65500000000000003</v>
      </c>
      <c r="K13" s="24">
        <f>0.5* 0.01</f>
        <v>5.0000000000000001E-3</v>
      </c>
      <c r="L13" s="22">
        <v>0.66</v>
      </c>
      <c r="M13" s="22">
        <v>1540</v>
      </c>
      <c r="N13" s="22">
        <v>2.41</v>
      </c>
      <c r="O13" s="24">
        <f>0.5* 0.001</f>
        <v>5.0000000000000001E-4</v>
      </c>
      <c r="P13" s="24">
        <f>0.5* 0.05</f>
        <v>2.5000000000000001E-2</v>
      </c>
    </row>
    <row r="14" spans="1:16">
      <c r="A14" s="14"/>
      <c r="B14" s="15" t="s">
        <v>100</v>
      </c>
      <c r="C14" s="85" t="s">
        <v>96</v>
      </c>
      <c r="D14" s="16">
        <f t="shared" ref="D14:P14" si="2">MIN(D2:D13)</f>
        <v>6320</v>
      </c>
      <c r="E14" s="16">
        <f t="shared" si="2"/>
        <v>1450</v>
      </c>
      <c r="F14" s="30">
        <f t="shared" si="2"/>
        <v>7.56</v>
      </c>
      <c r="G14" s="29">
        <f t="shared" si="2"/>
        <v>56.9</v>
      </c>
      <c r="H14" s="37">
        <f t="shared" si="2"/>
        <v>0.05</v>
      </c>
      <c r="I14" s="16">
        <f t="shared" si="2"/>
        <v>2130</v>
      </c>
      <c r="J14" s="64">
        <f t="shared" si="2"/>
        <v>0.65500000000000003</v>
      </c>
      <c r="K14" s="31">
        <f t="shared" si="2"/>
        <v>5.0000000000000001E-3</v>
      </c>
      <c r="L14" s="31">
        <f t="shared" si="2"/>
        <v>0.66</v>
      </c>
      <c r="M14" s="16">
        <f t="shared" si="2"/>
        <v>1340</v>
      </c>
      <c r="N14" s="30">
        <f t="shared" si="2"/>
        <v>2.23</v>
      </c>
      <c r="O14" s="38">
        <f t="shared" si="2"/>
        <v>5.0000000000000001E-4</v>
      </c>
      <c r="P14" s="31">
        <f t="shared" si="2"/>
        <v>2.5000000000000001E-2</v>
      </c>
    </row>
    <row r="15" spans="1:16">
      <c r="A15" s="14"/>
      <c r="B15" s="15" t="s">
        <v>101</v>
      </c>
      <c r="C15" s="85" t="s">
        <v>96</v>
      </c>
      <c r="D15" s="16">
        <f t="shared" ref="D15:P15" si="3">MAX(D2:D13)</f>
        <v>6940</v>
      </c>
      <c r="E15" s="16">
        <f t="shared" si="3"/>
        <v>1710</v>
      </c>
      <c r="F15" s="30">
        <f t="shared" si="3"/>
        <v>7.82</v>
      </c>
      <c r="G15" s="29">
        <f t="shared" si="3"/>
        <v>63.2</v>
      </c>
      <c r="H15" s="37">
        <f t="shared" si="3"/>
        <v>0.125</v>
      </c>
      <c r="I15" s="16">
        <f t="shared" si="3"/>
        <v>2660</v>
      </c>
      <c r="J15" s="64">
        <f t="shared" si="3"/>
        <v>1.4590000000000001</v>
      </c>
      <c r="K15" s="31">
        <f t="shared" si="3"/>
        <v>0.19</v>
      </c>
      <c r="L15" s="31">
        <f t="shared" si="3"/>
        <v>1.54</v>
      </c>
      <c r="M15" s="16">
        <f t="shared" si="3"/>
        <v>2790</v>
      </c>
      <c r="N15" s="30">
        <f t="shared" si="3"/>
        <v>2.59</v>
      </c>
      <c r="O15" s="38">
        <f t="shared" si="3"/>
        <v>1.2999999999999999E-3</v>
      </c>
      <c r="P15" s="31">
        <f t="shared" si="3"/>
        <v>7.1999999999999995E-2</v>
      </c>
    </row>
    <row r="16" spans="1:16">
      <c r="A16" s="14"/>
      <c r="B16" s="15" t="s">
        <v>102</v>
      </c>
      <c r="C16" s="85" t="s">
        <v>96</v>
      </c>
      <c r="D16" s="16">
        <f t="shared" ref="D16:P16" si="4">AVERAGE(D2:D13)</f>
        <v>6737.5</v>
      </c>
      <c r="E16" s="16">
        <f t="shared" si="4"/>
        <v>1605.8333333333333</v>
      </c>
      <c r="F16" s="30">
        <f t="shared" si="4"/>
        <v>7.6674999999999995</v>
      </c>
      <c r="G16" s="29">
        <f t="shared" si="4"/>
        <v>59.883333333333333</v>
      </c>
      <c r="H16" s="37">
        <f t="shared" si="4"/>
        <v>0.11875000000000001</v>
      </c>
      <c r="I16" s="16">
        <f t="shared" si="4"/>
        <v>2489.1666666666665</v>
      </c>
      <c r="J16" s="64">
        <f t="shared" si="4"/>
        <v>1.1453333333333335</v>
      </c>
      <c r="K16" s="31">
        <f t="shared" si="4"/>
        <v>6.6250000000000017E-2</v>
      </c>
      <c r="L16" s="31">
        <f t="shared" si="4"/>
        <v>1.2115833333333332</v>
      </c>
      <c r="M16" s="16">
        <f t="shared" si="4"/>
        <v>1585</v>
      </c>
      <c r="N16" s="30">
        <f t="shared" si="4"/>
        <v>2.3908333333333336</v>
      </c>
      <c r="O16" s="38">
        <f t="shared" si="4"/>
        <v>8.7750000000000013E-4</v>
      </c>
      <c r="P16" s="31">
        <f t="shared" si="4"/>
        <v>3.3525000000000006E-2</v>
      </c>
    </row>
    <row r="17" spans="1:16">
      <c r="A17" s="14"/>
      <c r="B17" s="15" t="s">
        <v>103</v>
      </c>
      <c r="C17" s="85" t="s">
        <v>96</v>
      </c>
      <c r="D17" s="16">
        <f t="shared" ref="D17:P17" si="5">_xlfn.STDEV.P(D2:D13)</f>
        <v>166.08858078346827</v>
      </c>
      <c r="E17" s="16">
        <f t="shared" si="5"/>
        <v>76.09843771209907</v>
      </c>
      <c r="F17" s="30">
        <f t="shared" si="5"/>
        <v>6.5590268587141412E-2</v>
      </c>
      <c r="G17" s="29">
        <f t="shared" si="5"/>
        <v>1.8008485654145268</v>
      </c>
      <c r="H17" s="37">
        <f t="shared" si="5"/>
        <v>2.0728904939721269E-2</v>
      </c>
      <c r="I17" s="16">
        <f t="shared" si="5"/>
        <v>152.61380089042478</v>
      </c>
      <c r="J17" s="64">
        <f t="shared" si="5"/>
        <v>0.230785735164796</v>
      </c>
      <c r="K17" s="31">
        <f t="shared" si="5"/>
        <v>4.6492158837091346E-2</v>
      </c>
      <c r="L17" s="31">
        <f t="shared" si="5"/>
        <v>0.25944024949023653</v>
      </c>
      <c r="M17" s="16">
        <f t="shared" si="5"/>
        <v>370.91104054746063</v>
      </c>
      <c r="N17" s="30">
        <f t="shared" si="5"/>
        <v>0.10078511243675273</v>
      </c>
      <c r="O17" s="38">
        <f t="shared" si="5"/>
        <v>3.2678037986798823E-4</v>
      </c>
      <c r="P17" s="31">
        <f t="shared" si="5"/>
        <v>1.6841373904762039E-2</v>
      </c>
    </row>
    <row r="18" spans="1:16" ht="12.75" customHeight="1">
      <c r="A18" s="17"/>
      <c r="B18" s="131" t="s">
        <v>112</v>
      </c>
      <c r="C18" s="130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</row>
    <row r="19" spans="1:16" ht="12.75" customHeight="1">
      <c r="A19" s="17"/>
      <c r="B19" s="130" t="s">
        <v>117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</row>
    <row r="20" spans="1:16" ht="12.75" customHeight="1">
      <c r="A20" s="17"/>
      <c r="B20" s="130" t="s">
        <v>114</v>
      </c>
      <c r="C20" s="130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</row>
    <row r="21" spans="1:16" ht="12.75" customHeight="1">
      <c r="A21" s="17"/>
      <c r="B21" s="130" t="s">
        <v>108</v>
      </c>
      <c r="C21" s="130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</row>
    <row r="22" spans="1:16" ht="12.75" customHeight="1">
      <c r="A22" s="18"/>
      <c r="B22" s="130" t="s">
        <v>115</v>
      </c>
      <c r="C22" s="130"/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</row>
    <row r="23" spans="1:16" ht="12.75" customHeight="1">
      <c r="A23" s="18"/>
      <c r="B23" s="130" t="s">
        <v>109</v>
      </c>
      <c r="C23" s="130"/>
      <c r="D23" s="130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</row>
    <row r="24" spans="1:16" ht="12.75" customHeight="1"/>
  </sheetData>
  <mergeCells count="6">
    <mergeCell ref="B23:P23"/>
    <mergeCell ref="B18:P18"/>
    <mergeCell ref="B19:P19"/>
    <mergeCell ref="B20:P20"/>
    <mergeCell ref="B21:P21"/>
    <mergeCell ref="B22:P22"/>
  </mergeCells>
  <printOptions horizontalCentered="1"/>
  <pageMargins left="0.25" right="0.25" top="1.0833333333333299" bottom="0.75" header="0.3" footer="0.3"/>
  <pageSetup orientation="landscape" r:id="rId1"/>
  <headerFooter alignWithMargins="0">
    <oddHeader>&amp;LBarrick Gold Inc. - Nickel Plate Mine&amp;C&amp;"-,Regular"&amp;18
Table 38 - W4_WELL Data&amp;RAnnual Report, 2017</oddHead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P23"/>
  <sheetViews>
    <sheetView view="pageLayout" zoomScaleNormal="100" workbookViewId="0">
      <selection activeCell="B33" sqref="B33"/>
    </sheetView>
  </sheetViews>
  <sheetFormatPr defaultColWidth="9.1328125" defaultRowHeight="15.75"/>
  <cols>
    <col min="1" max="1" width="10.3984375" style="19" customWidth="1"/>
    <col min="2" max="2" width="11" style="23" customWidth="1"/>
    <col min="3" max="3" width="5.73046875" style="19" bestFit="1" customWidth="1"/>
    <col min="4" max="4" width="8.59765625" style="19" customWidth="1"/>
    <col min="5" max="5" width="9.73046875" style="19" customWidth="1"/>
    <col min="6" max="6" width="5.73046875" style="19" customWidth="1"/>
    <col min="7" max="7" width="9.1328125" style="19" customWidth="1"/>
    <col min="8" max="8" width="8" style="19" customWidth="1"/>
    <col min="9" max="9" width="9.73046875" style="19" customWidth="1"/>
    <col min="10" max="10" width="7.265625" style="74" bestFit="1" customWidth="1"/>
    <col min="11" max="12" width="8" style="19" customWidth="1"/>
    <col min="13" max="13" width="9.73046875" style="19" customWidth="1"/>
    <col min="14" max="14" width="5.73046875" style="19" bestFit="1" customWidth="1"/>
    <col min="15" max="15" width="9.265625" style="19" customWidth="1"/>
    <col min="16" max="16" width="8" style="19" customWidth="1"/>
    <col min="17" max="16384" width="9.1328125" style="19"/>
  </cols>
  <sheetData>
    <row r="1" spans="1:16" ht="132">
      <c r="A1" s="1" t="s">
        <v>45</v>
      </c>
      <c r="B1" s="2" t="s">
        <v>46</v>
      </c>
      <c r="C1" s="5" t="s">
        <v>47</v>
      </c>
      <c r="D1" s="5" t="s">
        <v>51</v>
      </c>
      <c r="E1" s="71" t="s">
        <v>0</v>
      </c>
      <c r="F1" s="4" t="s">
        <v>52</v>
      </c>
      <c r="G1" s="5" t="s">
        <v>56</v>
      </c>
      <c r="H1" s="7" t="s">
        <v>57</v>
      </c>
      <c r="I1" s="5" t="s">
        <v>59</v>
      </c>
      <c r="J1" s="73" t="s">
        <v>105</v>
      </c>
      <c r="K1" s="7" t="s">
        <v>60</v>
      </c>
      <c r="L1" s="7" t="s">
        <v>61</v>
      </c>
      <c r="M1" s="4" t="s">
        <v>62</v>
      </c>
      <c r="N1" s="9" t="s">
        <v>85</v>
      </c>
      <c r="O1" s="10" t="s">
        <v>86</v>
      </c>
      <c r="P1" s="7" t="s">
        <v>87</v>
      </c>
    </row>
    <row r="2" spans="1:16">
      <c r="A2" s="20" t="s">
        <v>15</v>
      </c>
      <c r="B2" s="21">
        <v>42740.5</v>
      </c>
      <c r="C2" s="84">
        <v>21.803971875999999</v>
      </c>
      <c r="D2" s="22">
        <v>6020</v>
      </c>
      <c r="E2" s="22">
        <v>1710</v>
      </c>
      <c r="F2" s="22">
        <v>7.17</v>
      </c>
      <c r="G2" s="22">
        <v>16.8</v>
      </c>
      <c r="H2" s="24">
        <f>0.5* 0.25</f>
        <v>0.125</v>
      </c>
      <c r="I2" s="22">
        <v>2320</v>
      </c>
      <c r="J2" s="28">
        <f>L2-K2</f>
        <v>1.0650000000000002</v>
      </c>
      <c r="K2" s="24">
        <f>0.5* 0.05</f>
        <v>2.5000000000000001E-2</v>
      </c>
      <c r="L2" s="22">
        <v>1.0900000000000001</v>
      </c>
      <c r="M2" s="22">
        <v>1110</v>
      </c>
      <c r="N2" s="22">
        <v>2.19</v>
      </c>
      <c r="O2" s="24">
        <f>0.5* 0.0005</f>
        <v>2.5000000000000001E-4</v>
      </c>
      <c r="P2" s="22">
        <v>0.31</v>
      </c>
    </row>
    <row r="3" spans="1:16">
      <c r="A3" s="20" t="s">
        <v>15</v>
      </c>
      <c r="B3" s="21">
        <v>42774.5</v>
      </c>
      <c r="C3" s="84">
        <v>23</v>
      </c>
      <c r="D3" s="22">
        <v>5440</v>
      </c>
      <c r="E3" s="22">
        <v>1680</v>
      </c>
      <c r="F3" s="22">
        <v>7.98</v>
      </c>
      <c r="G3" s="22">
        <v>14.1</v>
      </c>
      <c r="H3" s="24">
        <f>0.5* 0.25</f>
        <v>0.125</v>
      </c>
      <c r="I3" s="22">
        <v>2230</v>
      </c>
      <c r="J3" s="28">
        <f t="shared" ref="J3:J13" si="0">L3-K3</f>
        <v>0.91799999999999993</v>
      </c>
      <c r="K3" s="24">
        <f>0.5* 0.05</f>
        <v>2.5000000000000001E-2</v>
      </c>
      <c r="L3" s="22">
        <v>0.94299999999999995</v>
      </c>
      <c r="M3" s="22">
        <v>972</v>
      </c>
      <c r="N3" s="22">
        <v>2.19</v>
      </c>
      <c r="O3" s="24">
        <f>0.5* 0.0005</f>
        <v>2.5000000000000001E-4</v>
      </c>
      <c r="P3" s="22">
        <v>2.2599999999999999E-2</v>
      </c>
    </row>
    <row r="4" spans="1:16">
      <c r="A4" s="20" t="s">
        <v>15</v>
      </c>
      <c r="B4" s="21">
        <v>42801.5</v>
      </c>
      <c r="C4" s="84">
        <v>23.439269766699997</v>
      </c>
      <c r="D4" s="22">
        <v>5740</v>
      </c>
      <c r="E4" s="22">
        <v>1810</v>
      </c>
      <c r="F4" s="22">
        <v>7.21</v>
      </c>
      <c r="G4" s="22">
        <v>20.399999999999999</v>
      </c>
      <c r="H4" s="24">
        <f>0.5* 0.1</f>
        <v>0.05</v>
      </c>
      <c r="I4" s="22">
        <v>2410</v>
      </c>
      <c r="J4" s="28">
        <f t="shared" si="0"/>
        <v>1.036</v>
      </c>
      <c r="K4" s="22">
        <v>6.4000000000000001E-2</v>
      </c>
      <c r="L4" s="22">
        <v>1.1000000000000001</v>
      </c>
      <c r="M4" s="22">
        <v>1200</v>
      </c>
      <c r="N4" s="22">
        <v>2.42</v>
      </c>
      <c r="O4" s="24">
        <f t="shared" ref="O4:O10" si="1">0.5* 0.001</f>
        <v>5.0000000000000001E-4</v>
      </c>
      <c r="P4" s="24">
        <f>0.5* 0.06</f>
        <v>0.03</v>
      </c>
    </row>
    <row r="5" spans="1:16">
      <c r="A5" s="20" t="s">
        <v>15</v>
      </c>
      <c r="B5" s="21">
        <v>42837.5</v>
      </c>
      <c r="C5" s="84">
        <v>25.074567657399996</v>
      </c>
      <c r="D5" s="22">
        <v>5760</v>
      </c>
      <c r="E5" s="22">
        <v>1630</v>
      </c>
      <c r="F5" s="22">
        <v>7.55</v>
      </c>
      <c r="G5" s="22">
        <v>18.2</v>
      </c>
      <c r="H5" s="22">
        <v>0.38</v>
      </c>
      <c r="I5" s="22">
        <v>2290</v>
      </c>
      <c r="J5" s="28">
        <f t="shared" si="0"/>
        <v>0.98499999999999999</v>
      </c>
      <c r="K5" s="24">
        <f>0.5* 0.05</f>
        <v>2.5000000000000001E-2</v>
      </c>
      <c r="L5" s="22">
        <v>1.01</v>
      </c>
      <c r="M5" s="22">
        <v>990</v>
      </c>
      <c r="N5" s="22">
        <v>2.29</v>
      </c>
      <c r="O5" s="24">
        <f t="shared" si="1"/>
        <v>5.0000000000000001E-4</v>
      </c>
      <c r="P5" s="24">
        <f>0.5* 0.05</f>
        <v>2.5000000000000001E-2</v>
      </c>
    </row>
    <row r="6" spans="1:16">
      <c r="A6" s="20" t="s">
        <v>15</v>
      </c>
      <c r="B6" s="21">
        <v>42865</v>
      </c>
      <c r="C6" s="84">
        <v>27.254964844999996</v>
      </c>
      <c r="D6" s="22">
        <v>5840</v>
      </c>
      <c r="E6" s="22">
        <v>1840</v>
      </c>
      <c r="F6" s="22">
        <v>7.63</v>
      </c>
      <c r="G6" s="22">
        <v>18.5</v>
      </c>
      <c r="H6" s="24">
        <f>0.5* 0.1</f>
        <v>0.05</v>
      </c>
      <c r="I6" s="22">
        <v>2220</v>
      </c>
      <c r="J6" s="28">
        <f t="shared" si="0"/>
        <v>1.0850000000000002</v>
      </c>
      <c r="K6" s="24">
        <f>0.5* 0.05</f>
        <v>2.5000000000000001E-2</v>
      </c>
      <c r="L6" s="22">
        <v>1.1100000000000001</v>
      </c>
      <c r="M6" s="22">
        <v>1090</v>
      </c>
      <c r="N6" s="22">
        <v>2.4900000000000002</v>
      </c>
      <c r="O6" s="24">
        <f t="shared" si="1"/>
        <v>5.0000000000000001E-4</v>
      </c>
      <c r="P6" s="24">
        <f>0.5* 0.05</f>
        <v>2.5000000000000001E-2</v>
      </c>
    </row>
    <row r="7" spans="1:16">
      <c r="A7" s="20" t="s">
        <v>15</v>
      </c>
      <c r="B7" s="21">
        <v>42893.5</v>
      </c>
      <c r="C7" s="84">
        <v>30.525560626399997</v>
      </c>
      <c r="D7" s="22">
        <v>5510</v>
      </c>
      <c r="E7" s="22">
        <v>1510</v>
      </c>
      <c r="F7" s="22">
        <v>7.49</v>
      </c>
      <c r="G7" s="22">
        <v>14.6</v>
      </c>
      <c r="H7" s="24">
        <f>0.5* 0.1</f>
        <v>0.05</v>
      </c>
      <c r="I7" s="22">
        <v>2160</v>
      </c>
      <c r="J7" s="28">
        <f t="shared" si="0"/>
        <v>0.86699999999999999</v>
      </c>
      <c r="K7" s="24">
        <f>0.5* 0.05</f>
        <v>2.5000000000000001E-2</v>
      </c>
      <c r="L7" s="22">
        <v>0.89200000000000002</v>
      </c>
      <c r="M7" s="22">
        <v>1670</v>
      </c>
      <c r="N7" s="22">
        <v>1.86</v>
      </c>
      <c r="O7" s="24">
        <f t="shared" si="1"/>
        <v>5.0000000000000001E-4</v>
      </c>
      <c r="P7" s="24">
        <f>0.5* 0.05</f>
        <v>2.5000000000000001E-2</v>
      </c>
    </row>
    <row r="8" spans="1:16">
      <c r="A8" s="20" t="s">
        <v>15</v>
      </c>
      <c r="B8" s="21">
        <v>42928.5</v>
      </c>
      <c r="C8" s="84">
        <v>14.7176810163</v>
      </c>
      <c r="D8" s="22">
        <v>5660</v>
      </c>
      <c r="E8" s="22">
        <v>1620</v>
      </c>
      <c r="F8" s="22">
        <v>7.7</v>
      </c>
      <c r="G8" s="22">
        <v>20.5</v>
      </c>
      <c r="H8" s="24">
        <f>0.5* 0.25</f>
        <v>0.125</v>
      </c>
      <c r="I8" s="22">
        <v>2200</v>
      </c>
      <c r="J8" s="28">
        <f t="shared" si="0"/>
        <v>1.0210000000000001</v>
      </c>
      <c r="K8" s="22">
        <v>7.9000000000000001E-2</v>
      </c>
      <c r="L8" s="22">
        <v>1.1000000000000001</v>
      </c>
      <c r="M8" s="22">
        <v>1050</v>
      </c>
      <c r="N8" s="22">
        <v>2.2400000000000002</v>
      </c>
      <c r="O8" s="24">
        <f t="shared" si="1"/>
        <v>5.0000000000000001E-4</v>
      </c>
      <c r="P8" s="22">
        <v>7.4999999999999997E-2</v>
      </c>
    </row>
    <row r="9" spans="1:16">
      <c r="A9" s="20" t="s">
        <v>15</v>
      </c>
      <c r="B9" s="21">
        <v>42956.5</v>
      </c>
      <c r="C9" s="84">
        <v>14.1725817194</v>
      </c>
      <c r="D9" s="22">
        <v>5850</v>
      </c>
      <c r="E9" s="22">
        <v>1710</v>
      </c>
      <c r="F9" s="22">
        <v>7.23</v>
      </c>
      <c r="G9" s="22">
        <v>17.600000000000001</v>
      </c>
      <c r="H9" s="24">
        <f>0.5* 0.25</f>
        <v>0.125</v>
      </c>
      <c r="I9" s="22">
        <v>2330</v>
      </c>
      <c r="J9" s="28">
        <f t="shared" si="0"/>
        <v>0.6399999999999999</v>
      </c>
      <c r="K9" s="22">
        <v>0.06</v>
      </c>
      <c r="L9" s="22">
        <v>0.7</v>
      </c>
      <c r="M9" s="22">
        <v>1180</v>
      </c>
      <c r="N9" s="22">
        <v>2.08</v>
      </c>
      <c r="O9" s="24">
        <f t="shared" si="1"/>
        <v>5.0000000000000001E-4</v>
      </c>
      <c r="P9" s="24">
        <f>0.5* 0.05</f>
        <v>2.5000000000000001E-2</v>
      </c>
    </row>
    <row r="10" spans="1:16">
      <c r="A10" s="20" t="s">
        <v>15</v>
      </c>
      <c r="B10" s="21">
        <v>42984</v>
      </c>
      <c r="C10" s="84">
        <v>24.529468360499997</v>
      </c>
      <c r="D10" s="22">
        <v>5940</v>
      </c>
      <c r="E10" s="22">
        <v>1740</v>
      </c>
      <c r="F10" s="22">
        <v>7.71</v>
      </c>
      <c r="G10" s="22">
        <v>18.100000000000001</v>
      </c>
      <c r="H10" s="24">
        <f>0.5* 0.25</f>
        <v>0.125</v>
      </c>
      <c r="I10" s="22">
        <v>2270</v>
      </c>
      <c r="J10" s="28">
        <f t="shared" si="0"/>
        <v>0.94199999999999995</v>
      </c>
      <c r="K10" s="24">
        <f>0.5* 0.05</f>
        <v>2.5000000000000001E-2</v>
      </c>
      <c r="L10" s="22">
        <v>0.96699999999999997</v>
      </c>
      <c r="M10" s="22">
        <v>1100</v>
      </c>
      <c r="N10" s="22">
        <v>2.3199999999999998</v>
      </c>
      <c r="O10" s="24">
        <f t="shared" si="1"/>
        <v>5.0000000000000001E-4</v>
      </c>
      <c r="P10" s="24">
        <f>0.5* 0.05</f>
        <v>2.5000000000000001E-2</v>
      </c>
    </row>
    <row r="11" spans="1:16">
      <c r="A11" s="20" t="s">
        <v>15</v>
      </c>
      <c r="B11" s="21">
        <v>43019.5</v>
      </c>
      <c r="C11" s="84">
        <v>22.894170469799999</v>
      </c>
      <c r="D11" s="22">
        <v>5940</v>
      </c>
      <c r="E11" s="22">
        <v>1660</v>
      </c>
      <c r="F11" s="22">
        <v>7.41</v>
      </c>
      <c r="G11" s="22">
        <v>19.100000000000001</v>
      </c>
      <c r="H11" s="24">
        <f>0.5* 0.1</f>
        <v>0.05</v>
      </c>
      <c r="I11" s="22">
        <v>2320</v>
      </c>
      <c r="J11" s="28">
        <f t="shared" si="0"/>
        <v>1.006</v>
      </c>
      <c r="K11" s="22">
        <v>5.3999999999999999E-2</v>
      </c>
      <c r="L11" s="22">
        <v>1.06</v>
      </c>
      <c r="M11" s="22">
        <v>1170</v>
      </c>
      <c r="N11" s="22">
        <v>2.3199999999999998</v>
      </c>
      <c r="O11" s="24">
        <f>0.5* 0.0004</f>
        <v>2.0000000000000001E-4</v>
      </c>
      <c r="P11" s="22">
        <v>0.09</v>
      </c>
    </row>
    <row r="12" spans="1:16">
      <c r="A12" s="20" t="s">
        <v>15</v>
      </c>
      <c r="B12" s="21">
        <v>43047.5</v>
      </c>
      <c r="C12" s="84">
        <v>22.894170469799999</v>
      </c>
      <c r="D12" s="22">
        <v>5830</v>
      </c>
      <c r="E12" s="22">
        <v>1850</v>
      </c>
      <c r="F12" s="22">
        <v>7.62</v>
      </c>
      <c r="G12" s="22">
        <v>23.9</v>
      </c>
      <c r="H12" s="24">
        <f>0.5* 0.25</f>
        <v>0.125</v>
      </c>
      <c r="I12" s="22">
        <v>2170</v>
      </c>
      <c r="J12" s="28">
        <f t="shared" si="0"/>
        <v>0.79599999999999993</v>
      </c>
      <c r="K12" s="22">
        <v>5.2999999999999999E-2</v>
      </c>
      <c r="L12" s="22">
        <v>0.84899999999999998</v>
      </c>
      <c r="M12" s="22">
        <v>1230</v>
      </c>
      <c r="N12" s="22">
        <v>2.57</v>
      </c>
      <c r="O12" s="24">
        <f>0.5* 0.001</f>
        <v>5.0000000000000001E-4</v>
      </c>
      <c r="P12" s="22">
        <v>5.1999999999999998E-2</v>
      </c>
    </row>
    <row r="13" spans="1:16">
      <c r="A13" s="20" t="s">
        <v>15</v>
      </c>
      <c r="B13" s="21">
        <v>43075.5</v>
      </c>
      <c r="C13" s="84">
        <v>22.894170469799999</v>
      </c>
      <c r="D13" s="22">
        <v>5930</v>
      </c>
      <c r="E13" s="22">
        <v>1620</v>
      </c>
      <c r="F13" s="22">
        <v>7.47</v>
      </c>
      <c r="G13" s="22">
        <v>19.100000000000001</v>
      </c>
      <c r="H13" s="24">
        <f>0.5* 0.25</f>
        <v>0.125</v>
      </c>
      <c r="I13" s="22">
        <v>2460</v>
      </c>
      <c r="J13" s="28">
        <f t="shared" si="0"/>
        <v>0.7702</v>
      </c>
      <c r="K13" s="22">
        <v>7.7999999999999996E-3</v>
      </c>
      <c r="L13" s="22">
        <v>0.77800000000000002</v>
      </c>
      <c r="M13" s="22">
        <v>1300</v>
      </c>
      <c r="N13" s="22">
        <v>2.33</v>
      </c>
      <c r="O13" s="24">
        <f>0.5* 0.001</f>
        <v>5.0000000000000001E-4</v>
      </c>
      <c r="P13" s="24">
        <f>0.5* 0.05</f>
        <v>2.5000000000000001E-2</v>
      </c>
    </row>
    <row r="14" spans="1:16">
      <c r="A14" s="14"/>
      <c r="B14" s="15" t="s">
        <v>100</v>
      </c>
      <c r="C14" s="29">
        <f t="shared" ref="C14:P14" si="2">MIN(C2:C13)</f>
        <v>14.1725817194</v>
      </c>
      <c r="D14" s="29">
        <f t="shared" si="2"/>
        <v>5440</v>
      </c>
      <c r="E14" s="30">
        <f t="shared" si="2"/>
        <v>1510</v>
      </c>
      <c r="F14" s="30">
        <f t="shared" si="2"/>
        <v>7.17</v>
      </c>
      <c r="G14" s="31">
        <f t="shared" si="2"/>
        <v>14.1</v>
      </c>
      <c r="H14" s="31">
        <f t="shared" si="2"/>
        <v>0.05</v>
      </c>
      <c r="I14" s="30">
        <f t="shared" si="2"/>
        <v>2160</v>
      </c>
      <c r="J14" s="64">
        <f t="shared" si="2"/>
        <v>0.6399999999999999</v>
      </c>
      <c r="K14" s="31">
        <f t="shared" si="2"/>
        <v>7.7999999999999996E-3</v>
      </c>
      <c r="L14" s="31">
        <f t="shared" si="2"/>
        <v>0.7</v>
      </c>
      <c r="M14" s="30">
        <f t="shared" si="2"/>
        <v>972</v>
      </c>
      <c r="N14" s="30">
        <f t="shared" si="2"/>
        <v>1.86</v>
      </c>
      <c r="O14" s="38">
        <f t="shared" si="2"/>
        <v>2.0000000000000001E-4</v>
      </c>
      <c r="P14" s="31">
        <f t="shared" si="2"/>
        <v>2.2599999999999999E-2</v>
      </c>
    </row>
    <row r="15" spans="1:16">
      <c r="A15" s="14"/>
      <c r="B15" s="15" t="s">
        <v>101</v>
      </c>
      <c r="C15" s="29">
        <f t="shared" ref="C15:P15" si="3">MAX(C2:C13)</f>
        <v>30.525560626399997</v>
      </c>
      <c r="D15" s="29">
        <f t="shared" si="3"/>
        <v>6020</v>
      </c>
      <c r="E15" s="30">
        <f t="shared" si="3"/>
        <v>1850</v>
      </c>
      <c r="F15" s="30">
        <f t="shared" si="3"/>
        <v>7.98</v>
      </c>
      <c r="G15" s="31">
        <f t="shared" si="3"/>
        <v>23.9</v>
      </c>
      <c r="H15" s="31">
        <f t="shared" si="3"/>
        <v>0.38</v>
      </c>
      <c r="I15" s="30">
        <f t="shared" si="3"/>
        <v>2460</v>
      </c>
      <c r="J15" s="64">
        <f t="shared" si="3"/>
        <v>1.0850000000000002</v>
      </c>
      <c r="K15" s="31">
        <f t="shared" si="3"/>
        <v>7.9000000000000001E-2</v>
      </c>
      <c r="L15" s="31">
        <f t="shared" si="3"/>
        <v>1.1100000000000001</v>
      </c>
      <c r="M15" s="30">
        <f t="shared" si="3"/>
        <v>1670</v>
      </c>
      <c r="N15" s="30">
        <f t="shared" si="3"/>
        <v>2.57</v>
      </c>
      <c r="O15" s="38">
        <f t="shared" si="3"/>
        <v>5.0000000000000001E-4</v>
      </c>
      <c r="P15" s="31">
        <f t="shared" si="3"/>
        <v>0.31</v>
      </c>
    </row>
    <row r="16" spans="1:16">
      <c r="A16" s="14"/>
      <c r="B16" s="15" t="s">
        <v>102</v>
      </c>
      <c r="C16" s="29">
        <f t="shared" ref="C16:P16" si="4">AVERAGE(C2:C13)</f>
        <v>22.766714773091664</v>
      </c>
      <c r="D16" s="29">
        <f t="shared" si="4"/>
        <v>5788.333333333333</v>
      </c>
      <c r="E16" s="30">
        <f t="shared" si="4"/>
        <v>1698.3333333333333</v>
      </c>
      <c r="F16" s="30">
        <f t="shared" si="4"/>
        <v>7.5141666666666671</v>
      </c>
      <c r="G16" s="31">
        <f t="shared" si="4"/>
        <v>18.408333333333331</v>
      </c>
      <c r="H16" s="31">
        <f t="shared" si="4"/>
        <v>0.12125000000000001</v>
      </c>
      <c r="I16" s="30">
        <f t="shared" si="4"/>
        <v>2281.6666666666665</v>
      </c>
      <c r="J16" s="64">
        <f t="shared" si="4"/>
        <v>0.92759999999999998</v>
      </c>
      <c r="K16" s="31">
        <f t="shared" si="4"/>
        <v>3.8983333333333335E-2</v>
      </c>
      <c r="L16" s="31">
        <f t="shared" si="4"/>
        <v>0.96658333333333346</v>
      </c>
      <c r="M16" s="30">
        <f t="shared" si="4"/>
        <v>1171.8333333333333</v>
      </c>
      <c r="N16" s="30">
        <f t="shared" si="4"/>
        <v>2.2749999999999999</v>
      </c>
      <c r="O16" s="38">
        <f t="shared" si="4"/>
        <v>4.3333333333333331E-4</v>
      </c>
      <c r="P16" s="31">
        <f t="shared" si="4"/>
        <v>6.0800000000000014E-2</v>
      </c>
    </row>
    <row r="17" spans="1:16">
      <c r="A17" s="14"/>
      <c r="B17" s="15" t="s">
        <v>103</v>
      </c>
      <c r="C17" s="29">
        <f t="shared" ref="C17:P17" si="5">_xlfn.STDEV.P(C2:C13)</f>
        <v>4.3675507167226684</v>
      </c>
      <c r="D17" s="29">
        <f t="shared" si="5"/>
        <v>169.89375765133011</v>
      </c>
      <c r="E17" s="30">
        <f t="shared" si="5"/>
        <v>96.508491278689505</v>
      </c>
      <c r="F17" s="30">
        <f t="shared" si="5"/>
        <v>0.22746641998814296</v>
      </c>
      <c r="G17" s="31">
        <f t="shared" si="5"/>
        <v>2.5151071326861931</v>
      </c>
      <c r="H17" s="31">
        <f t="shared" si="5"/>
        <v>8.5321084732907587E-2</v>
      </c>
      <c r="I17" s="30">
        <f t="shared" si="5"/>
        <v>88.584548439455403</v>
      </c>
      <c r="J17" s="64">
        <f t="shared" si="5"/>
        <v>0.1298550217229463</v>
      </c>
      <c r="K17" s="31">
        <f t="shared" si="5"/>
        <v>2.0889464383325441E-2</v>
      </c>
      <c r="L17" s="31">
        <f t="shared" si="5"/>
        <v>0.13184173487767481</v>
      </c>
      <c r="M17" s="30">
        <f t="shared" si="5"/>
        <v>176.15420958795039</v>
      </c>
      <c r="N17" s="30">
        <f t="shared" si="5"/>
        <v>0.17969882210706517</v>
      </c>
      <c r="O17" s="38">
        <f t="shared" si="5"/>
        <v>1.1606990230986767E-4</v>
      </c>
      <c r="P17" s="31">
        <f t="shared" si="5"/>
        <v>7.8171861945331711E-2</v>
      </c>
    </row>
    <row r="18" spans="1:16" ht="12.75" customHeight="1">
      <c r="A18" s="17"/>
      <c r="B18" s="131" t="s">
        <v>112</v>
      </c>
      <c r="C18" s="130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</row>
    <row r="19" spans="1:16" ht="12.75" customHeight="1">
      <c r="A19" s="17"/>
      <c r="B19" s="130" t="s">
        <v>117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</row>
    <row r="20" spans="1:16" ht="12.75" customHeight="1">
      <c r="A20" s="17"/>
      <c r="B20" s="130" t="s">
        <v>114</v>
      </c>
      <c r="C20" s="130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</row>
    <row r="21" spans="1:16" ht="12.75" customHeight="1">
      <c r="A21" s="17"/>
      <c r="B21" s="130" t="s">
        <v>108</v>
      </c>
      <c r="C21" s="130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</row>
    <row r="22" spans="1:16" ht="12.75" customHeight="1">
      <c r="A22" s="18"/>
      <c r="B22" s="130" t="s">
        <v>115</v>
      </c>
      <c r="C22" s="130"/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</row>
    <row r="23" spans="1:16" ht="12.75" customHeight="1"/>
  </sheetData>
  <mergeCells count="5">
    <mergeCell ref="B18:P18"/>
    <mergeCell ref="B19:P19"/>
    <mergeCell ref="B20:P20"/>
    <mergeCell ref="B21:P21"/>
    <mergeCell ref="B22:P22"/>
  </mergeCells>
  <printOptions horizontalCentered="1"/>
  <pageMargins left="0.25" right="0.25" top="1.0833333333333299" bottom="0.75" header="0.3" footer="0.3"/>
  <pageSetup orientation="landscape" r:id="rId1"/>
  <headerFooter alignWithMargins="0">
    <oddHeader>&amp;LBarrick Gold Inc. - Nickel Plate Mine&amp;C&amp;"-,Regular"&amp;18
Table 39 - W5_WELL Data&amp;RAnnual Report, 2017</oddHead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P24"/>
  <sheetViews>
    <sheetView view="pageLayout" zoomScaleNormal="100" workbookViewId="0">
      <selection activeCell="B33" sqref="B33"/>
    </sheetView>
  </sheetViews>
  <sheetFormatPr defaultColWidth="9.1328125" defaultRowHeight="15.75"/>
  <cols>
    <col min="1" max="1" width="10.3984375" style="19" customWidth="1"/>
    <col min="2" max="2" width="11" style="23" customWidth="1"/>
    <col min="3" max="3" width="9" style="19" customWidth="1"/>
    <col min="4" max="5" width="6.86328125" style="19" bestFit="1" customWidth="1"/>
    <col min="6" max="6" width="5.73046875" style="19" customWidth="1"/>
    <col min="7" max="7" width="9.1328125" style="19" customWidth="1"/>
    <col min="8" max="8" width="8" style="19" customWidth="1"/>
    <col min="9" max="9" width="9.73046875" style="19" customWidth="1"/>
    <col min="10" max="10" width="6.1328125" style="74" bestFit="1" customWidth="1"/>
    <col min="11" max="12" width="8" style="19" customWidth="1"/>
    <col min="13" max="13" width="6.86328125" style="19" bestFit="1" customWidth="1"/>
    <col min="14" max="14" width="5.73046875" style="19" bestFit="1" customWidth="1"/>
    <col min="15" max="15" width="9.265625" style="19" customWidth="1"/>
    <col min="16" max="16" width="8" style="19" customWidth="1"/>
    <col min="17" max="16384" width="9.1328125" style="19"/>
  </cols>
  <sheetData>
    <row r="1" spans="1:16" ht="132">
      <c r="A1" s="1" t="s">
        <v>45</v>
      </c>
      <c r="B1" s="2" t="s">
        <v>46</v>
      </c>
      <c r="C1" s="5" t="s">
        <v>47</v>
      </c>
      <c r="D1" s="5" t="s">
        <v>51</v>
      </c>
      <c r="E1" s="71" t="s">
        <v>0</v>
      </c>
      <c r="F1" s="4" t="s">
        <v>52</v>
      </c>
      <c r="G1" s="5" t="s">
        <v>56</v>
      </c>
      <c r="H1" s="7" t="s">
        <v>57</v>
      </c>
      <c r="I1" s="5" t="s">
        <v>59</v>
      </c>
      <c r="J1" s="73" t="s">
        <v>105</v>
      </c>
      <c r="K1" s="7" t="s">
        <v>60</v>
      </c>
      <c r="L1" s="7" t="s">
        <v>61</v>
      </c>
      <c r="M1" s="4" t="s">
        <v>62</v>
      </c>
      <c r="N1" s="9" t="s">
        <v>85</v>
      </c>
      <c r="O1" s="10" t="s">
        <v>86</v>
      </c>
      <c r="P1" s="7" t="s">
        <v>87</v>
      </c>
    </row>
    <row r="2" spans="1:16">
      <c r="A2" s="20" t="s">
        <v>31</v>
      </c>
      <c r="B2" s="21">
        <v>42740.5</v>
      </c>
      <c r="C2" s="84" t="s">
        <v>118</v>
      </c>
      <c r="D2" s="22">
        <v>5550</v>
      </c>
      <c r="E2" s="22">
        <v>1660</v>
      </c>
      <c r="F2" s="22">
        <v>7.08</v>
      </c>
      <c r="G2" s="22">
        <v>10.5</v>
      </c>
      <c r="H2" s="24">
        <f>0.5* 0.1</f>
        <v>0.05</v>
      </c>
      <c r="I2" s="22">
        <v>2130</v>
      </c>
      <c r="J2" s="72">
        <f>L2-K2</f>
        <v>1.25</v>
      </c>
      <c r="K2" s="22">
        <v>0.11</v>
      </c>
      <c r="L2" s="22">
        <v>1.36</v>
      </c>
      <c r="M2" s="22">
        <v>1060</v>
      </c>
      <c r="N2" s="22">
        <v>2.0499999999999998</v>
      </c>
      <c r="O2" s="24">
        <f>0.5* 0.0005</f>
        <v>2.5000000000000001E-4</v>
      </c>
      <c r="P2" s="22">
        <v>3.2399999999999998E-2</v>
      </c>
    </row>
    <row r="3" spans="1:16">
      <c r="A3" s="20" t="s">
        <v>31</v>
      </c>
      <c r="B3" s="21">
        <v>42774.5</v>
      </c>
      <c r="C3" s="84" t="s">
        <v>118</v>
      </c>
      <c r="D3" s="22">
        <v>5610</v>
      </c>
      <c r="E3" s="22">
        <v>1630</v>
      </c>
      <c r="F3" s="22">
        <v>7.74</v>
      </c>
      <c r="G3" s="22">
        <v>11.2</v>
      </c>
      <c r="H3" s="24">
        <f>0.5* 0.25</f>
        <v>0.125</v>
      </c>
      <c r="I3" s="22">
        <v>2340</v>
      </c>
      <c r="J3" s="72">
        <f t="shared" ref="J3:J13" si="0">L3-K3</f>
        <v>1.23</v>
      </c>
      <c r="K3" s="24">
        <f>0.5* 0.1</f>
        <v>0.05</v>
      </c>
      <c r="L3" s="22">
        <v>1.28</v>
      </c>
      <c r="M3" s="22">
        <v>1050</v>
      </c>
      <c r="N3" s="22">
        <v>2.16</v>
      </c>
      <c r="O3" s="24">
        <f>0.5* 0.0005</f>
        <v>2.5000000000000001E-4</v>
      </c>
      <c r="P3" s="22">
        <v>3.6200000000000003E-2</v>
      </c>
    </row>
    <row r="4" spans="1:16">
      <c r="A4" s="20" t="s">
        <v>31</v>
      </c>
      <c r="B4" s="21">
        <v>42801.5</v>
      </c>
      <c r="C4" s="84" t="s">
        <v>118</v>
      </c>
      <c r="D4" s="22">
        <v>5340</v>
      </c>
      <c r="E4" s="22">
        <v>1780</v>
      </c>
      <c r="F4" s="22">
        <v>7.23</v>
      </c>
      <c r="G4" s="22">
        <v>12.7</v>
      </c>
      <c r="H4" s="22">
        <v>0.23</v>
      </c>
      <c r="I4" s="22">
        <v>2230</v>
      </c>
      <c r="J4" s="72">
        <f t="shared" si="0"/>
        <v>0.97</v>
      </c>
      <c r="K4" s="24">
        <f>0.5* 0.1</f>
        <v>0.05</v>
      </c>
      <c r="L4" s="22">
        <v>1.02</v>
      </c>
      <c r="M4" s="22">
        <v>1070</v>
      </c>
      <c r="N4" s="22">
        <v>2.17</v>
      </c>
      <c r="O4" s="24">
        <f t="shared" ref="O4:O10" si="1">0.5* 0.001</f>
        <v>5.0000000000000001E-4</v>
      </c>
      <c r="P4" s="24">
        <f>0.5* 0.06</f>
        <v>0.03</v>
      </c>
    </row>
    <row r="5" spans="1:16">
      <c r="A5" s="20" t="s">
        <v>31</v>
      </c>
      <c r="B5" s="21">
        <v>42837.5</v>
      </c>
      <c r="C5" s="84" t="s">
        <v>118</v>
      </c>
      <c r="D5" s="22">
        <v>5630</v>
      </c>
      <c r="E5" s="22">
        <v>1680</v>
      </c>
      <c r="F5" s="22">
        <v>7.4</v>
      </c>
      <c r="G5" s="22">
        <v>11.5</v>
      </c>
      <c r="H5" s="24">
        <f>0.5* 0.25</f>
        <v>0.125</v>
      </c>
      <c r="I5" s="22">
        <v>2270</v>
      </c>
      <c r="J5" s="72">
        <f t="shared" si="0"/>
        <v>1.1099999999999999</v>
      </c>
      <c r="K5" s="24">
        <f>0.5* 0.1</f>
        <v>0.05</v>
      </c>
      <c r="L5" s="22">
        <v>1.1599999999999999</v>
      </c>
      <c r="M5" s="22">
        <v>925</v>
      </c>
      <c r="N5" s="22">
        <v>2.2400000000000002</v>
      </c>
      <c r="O5" s="24">
        <f t="shared" si="1"/>
        <v>5.0000000000000001E-4</v>
      </c>
      <c r="P5" s="24">
        <f>0.5* 0.05</f>
        <v>2.5000000000000001E-2</v>
      </c>
    </row>
    <row r="6" spans="1:16">
      <c r="A6" s="20" t="s">
        <v>31</v>
      </c>
      <c r="B6" s="21">
        <v>42865</v>
      </c>
      <c r="C6" s="84" t="s">
        <v>118</v>
      </c>
      <c r="D6" s="22">
        <v>5560</v>
      </c>
      <c r="E6" s="22">
        <v>1770</v>
      </c>
      <c r="F6" s="22">
        <v>7.56</v>
      </c>
      <c r="G6" s="22">
        <v>11.7</v>
      </c>
      <c r="H6" s="24">
        <f>0.5* 0.1</f>
        <v>0.05</v>
      </c>
      <c r="I6" s="22">
        <v>2230</v>
      </c>
      <c r="J6" s="72">
        <f t="shared" si="0"/>
        <v>1.23</v>
      </c>
      <c r="K6" s="24">
        <f>0.5* 0.1</f>
        <v>0.05</v>
      </c>
      <c r="L6" s="22">
        <v>1.28</v>
      </c>
      <c r="M6" s="22">
        <v>969</v>
      </c>
      <c r="N6" s="22">
        <v>2.2999999999999998</v>
      </c>
      <c r="O6" s="24">
        <f t="shared" si="1"/>
        <v>5.0000000000000001E-4</v>
      </c>
      <c r="P6" s="24">
        <f>0.5* 0.05</f>
        <v>2.5000000000000001E-2</v>
      </c>
    </row>
    <row r="7" spans="1:16">
      <c r="A7" s="20" t="s">
        <v>31</v>
      </c>
      <c r="B7" s="21">
        <v>42893.5</v>
      </c>
      <c r="C7" s="84" t="s">
        <v>118</v>
      </c>
      <c r="D7" s="22">
        <v>5680</v>
      </c>
      <c r="E7" s="25" t="s">
        <v>96</v>
      </c>
      <c r="F7" s="22">
        <v>7.52</v>
      </c>
      <c r="G7" s="22">
        <v>14.1</v>
      </c>
      <c r="H7" s="24">
        <f>0.5* 0.1</f>
        <v>0.05</v>
      </c>
      <c r="I7" s="22">
        <v>2220</v>
      </c>
      <c r="J7" s="72">
        <f t="shared" si="0"/>
        <v>1.17</v>
      </c>
      <c r="K7" s="24">
        <f>0.5* 0.1</f>
        <v>0.05</v>
      </c>
      <c r="L7" s="22">
        <v>1.22</v>
      </c>
      <c r="M7" s="22">
        <v>1590</v>
      </c>
      <c r="N7" s="22">
        <v>2.2000000000000002</v>
      </c>
      <c r="O7" s="24">
        <f t="shared" si="1"/>
        <v>5.0000000000000001E-4</v>
      </c>
      <c r="P7" s="22">
        <v>0.124</v>
      </c>
    </row>
    <row r="8" spans="1:16">
      <c r="A8" s="20" t="s">
        <v>31</v>
      </c>
      <c r="B8" s="21">
        <v>42928.5</v>
      </c>
      <c r="C8" s="84" t="s">
        <v>118</v>
      </c>
      <c r="D8" s="22">
        <v>5630</v>
      </c>
      <c r="E8" s="22">
        <v>1660</v>
      </c>
      <c r="F8" s="22">
        <v>7.84</v>
      </c>
      <c r="G8" s="22">
        <v>13.2</v>
      </c>
      <c r="H8" s="24">
        <f>0.5* 0.25</f>
        <v>0.125</v>
      </c>
      <c r="I8" s="22">
        <v>2350</v>
      </c>
      <c r="J8" s="72">
        <f t="shared" si="0"/>
        <v>1.19</v>
      </c>
      <c r="K8" s="22">
        <v>0.1</v>
      </c>
      <c r="L8" s="22">
        <v>1.29</v>
      </c>
      <c r="M8" s="22">
        <v>1060</v>
      </c>
      <c r="N8" s="22">
        <v>2.1800000000000002</v>
      </c>
      <c r="O8" s="24">
        <f t="shared" si="1"/>
        <v>5.0000000000000001E-4</v>
      </c>
      <c r="P8" s="22">
        <v>6.3E-2</v>
      </c>
    </row>
    <row r="9" spans="1:16">
      <c r="A9" s="20" t="s">
        <v>31</v>
      </c>
      <c r="B9" s="21">
        <v>42956.5</v>
      </c>
      <c r="C9" s="84" t="s">
        <v>118</v>
      </c>
      <c r="D9" s="22">
        <v>5720</v>
      </c>
      <c r="E9" s="22">
        <v>1710</v>
      </c>
      <c r="F9" s="22">
        <v>7.41</v>
      </c>
      <c r="G9" s="22">
        <v>12.7</v>
      </c>
      <c r="H9" s="24">
        <f>0.5* 0.25</f>
        <v>0.125</v>
      </c>
      <c r="I9" s="22">
        <v>2380</v>
      </c>
      <c r="J9" s="72">
        <f t="shared" si="0"/>
        <v>1.0899999999999999</v>
      </c>
      <c r="K9" s="24">
        <f>0.5* 0.1</f>
        <v>0.05</v>
      </c>
      <c r="L9" s="22">
        <v>1.1399999999999999</v>
      </c>
      <c r="M9" s="22">
        <v>1110</v>
      </c>
      <c r="N9" s="22">
        <v>1.99</v>
      </c>
      <c r="O9" s="24">
        <f t="shared" si="1"/>
        <v>5.0000000000000001E-4</v>
      </c>
      <c r="P9" s="24">
        <f>0.5* 0.05</f>
        <v>2.5000000000000001E-2</v>
      </c>
    </row>
    <row r="10" spans="1:16">
      <c r="A10" s="20" t="s">
        <v>31</v>
      </c>
      <c r="B10" s="21">
        <v>42984</v>
      </c>
      <c r="C10" s="84" t="s">
        <v>118</v>
      </c>
      <c r="D10" s="22">
        <v>5740</v>
      </c>
      <c r="E10" s="22">
        <v>1710</v>
      </c>
      <c r="F10" s="22">
        <v>7.84</v>
      </c>
      <c r="G10" s="22">
        <v>13</v>
      </c>
      <c r="H10" s="24">
        <f>0.5* 0.25</f>
        <v>0.125</v>
      </c>
      <c r="I10" s="22">
        <v>2240</v>
      </c>
      <c r="J10" s="72">
        <f t="shared" si="0"/>
        <v>1.05</v>
      </c>
      <c r="K10" s="24">
        <f>0.5* 0.1</f>
        <v>0.05</v>
      </c>
      <c r="L10" s="22">
        <v>1.1000000000000001</v>
      </c>
      <c r="M10" s="22">
        <v>1070</v>
      </c>
      <c r="N10" s="22">
        <v>2.1800000000000002</v>
      </c>
      <c r="O10" s="24">
        <f t="shared" si="1"/>
        <v>5.0000000000000001E-4</v>
      </c>
      <c r="P10" s="24">
        <f>0.5* 0.05</f>
        <v>2.5000000000000001E-2</v>
      </c>
    </row>
    <row r="11" spans="1:16">
      <c r="A11" s="20" t="s">
        <v>31</v>
      </c>
      <c r="B11" s="21">
        <v>43019.5</v>
      </c>
      <c r="C11" s="84" t="s">
        <v>118</v>
      </c>
      <c r="D11" s="22">
        <v>5630</v>
      </c>
      <c r="E11" s="22">
        <v>1610</v>
      </c>
      <c r="F11" s="22">
        <v>7.44</v>
      </c>
      <c r="G11" s="22">
        <v>12.3</v>
      </c>
      <c r="H11" s="24">
        <f>0.5* 0.1</f>
        <v>0.05</v>
      </c>
      <c r="I11" s="22">
        <v>2140</v>
      </c>
      <c r="J11" s="72">
        <f t="shared" si="0"/>
        <v>1.113</v>
      </c>
      <c r="K11" s="22">
        <v>7.6999999999999999E-2</v>
      </c>
      <c r="L11" s="22">
        <v>1.19</v>
      </c>
      <c r="M11" s="22">
        <v>1030</v>
      </c>
      <c r="N11" s="22">
        <v>2.15</v>
      </c>
      <c r="O11" s="24">
        <f>0.5* 0.0004</f>
        <v>2.0000000000000001E-4</v>
      </c>
      <c r="P11" s="24">
        <f>0.5* 0.04</f>
        <v>0.02</v>
      </c>
    </row>
    <row r="12" spans="1:16">
      <c r="A12" s="20" t="s">
        <v>31</v>
      </c>
      <c r="B12" s="21">
        <v>43047.5</v>
      </c>
      <c r="C12" s="84" t="s">
        <v>118</v>
      </c>
      <c r="D12" s="22">
        <v>5540</v>
      </c>
      <c r="E12" s="22">
        <v>1780</v>
      </c>
      <c r="F12" s="22">
        <v>7.58</v>
      </c>
      <c r="G12" s="22">
        <v>13.2</v>
      </c>
      <c r="H12" s="24">
        <f>0.5* 0.25</f>
        <v>0.125</v>
      </c>
      <c r="I12" s="22">
        <v>2120</v>
      </c>
      <c r="J12" s="72">
        <f t="shared" si="0"/>
        <v>0.66999999999999993</v>
      </c>
      <c r="K12" s="22">
        <v>4.8000000000000001E-2</v>
      </c>
      <c r="L12" s="22">
        <v>0.71799999999999997</v>
      </c>
      <c r="M12" s="22">
        <v>1070</v>
      </c>
      <c r="N12" s="22">
        <v>2.3199999999999998</v>
      </c>
      <c r="O12" s="24">
        <f>0.5* 0.001</f>
        <v>5.0000000000000001E-4</v>
      </c>
      <c r="P12" s="24">
        <f>0.5* 0.05</f>
        <v>2.5000000000000001E-2</v>
      </c>
    </row>
    <row r="13" spans="1:16">
      <c r="A13" s="20" t="s">
        <v>31</v>
      </c>
      <c r="B13" s="21">
        <v>43075.5</v>
      </c>
      <c r="C13" s="84" t="s">
        <v>118</v>
      </c>
      <c r="D13" s="22">
        <v>5490</v>
      </c>
      <c r="E13" s="22">
        <v>1660</v>
      </c>
      <c r="F13" s="22">
        <v>7.56</v>
      </c>
      <c r="G13" s="22">
        <v>12.1</v>
      </c>
      <c r="H13" s="24">
        <f>0.5* 0.25</f>
        <v>0.125</v>
      </c>
      <c r="I13" s="22">
        <v>2200</v>
      </c>
      <c r="J13" s="72">
        <f t="shared" si="0"/>
        <v>0.59599999999999997</v>
      </c>
      <c r="K13" s="24">
        <f>0.5* 0.01</f>
        <v>5.0000000000000001E-3</v>
      </c>
      <c r="L13" s="22">
        <v>0.60099999999999998</v>
      </c>
      <c r="M13" s="22">
        <v>1130</v>
      </c>
      <c r="N13" s="22">
        <v>2.2400000000000002</v>
      </c>
      <c r="O13" s="24">
        <f>0.5* 0.001</f>
        <v>5.0000000000000001E-4</v>
      </c>
      <c r="P13" s="24">
        <f>0.5* 0.05</f>
        <v>2.5000000000000001E-2</v>
      </c>
    </row>
    <row r="14" spans="1:16">
      <c r="A14" s="14"/>
      <c r="B14" s="15" t="s">
        <v>100</v>
      </c>
      <c r="C14" s="85" t="s">
        <v>96</v>
      </c>
      <c r="D14" s="16">
        <f t="shared" ref="D14:P14" si="2">MIN(D2:D13)</f>
        <v>5340</v>
      </c>
      <c r="E14" s="16">
        <f t="shared" si="2"/>
        <v>1610</v>
      </c>
      <c r="F14" s="30">
        <f t="shared" si="2"/>
        <v>7.08</v>
      </c>
      <c r="G14" s="31">
        <f t="shared" si="2"/>
        <v>10.5</v>
      </c>
      <c r="H14" s="31">
        <f t="shared" si="2"/>
        <v>0.05</v>
      </c>
      <c r="I14" s="30">
        <f t="shared" si="2"/>
        <v>2120</v>
      </c>
      <c r="J14" s="46">
        <f t="shared" si="2"/>
        <v>0.59599999999999997</v>
      </c>
      <c r="K14" s="31">
        <f t="shared" si="2"/>
        <v>5.0000000000000001E-3</v>
      </c>
      <c r="L14" s="31">
        <f t="shared" si="2"/>
        <v>0.60099999999999998</v>
      </c>
      <c r="M14" s="16">
        <f t="shared" si="2"/>
        <v>925</v>
      </c>
      <c r="N14" s="30">
        <f t="shared" si="2"/>
        <v>1.99</v>
      </c>
      <c r="O14" s="38">
        <f t="shared" si="2"/>
        <v>2.0000000000000001E-4</v>
      </c>
      <c r="P14" s="31">
        <f t="shared" si="2"/>
        <v>0.02</v>
      </c>
    </row>
    <row r="15" spans="1:16">
      <c r="A15" s="14"/>
      <c r="B15" s="15" t="s">
        <v>101</v>
      </c>
      <c r="C15" s="85" t="s">
        <v>96</v>
      </c>
      <c r="D15" s="16">
        <f t="shared" ref="D15:P15" si="3">MAX(D2:D13)</f>
        <v>5740</v>
      </c>
      <c r="E15" s="16">
        <f t="shared" si="3"/>
        <v>1780</v>
      </c>
      <c r="F15" s="30">
        <f t="shared" si="3"/>
        <v>7.84</v>
      </c>
      <c r="G15" s="31">
        <f t="shared" si="3"/>
        <v>14.1</v>
      </c>
      <c r="H15" s="31">
        <f t="shared" si="3"/>
        <v>0.23</v>
      </c>
      <c r="I15" s="30">
        <f t="shared" si="3"/>
        <v>2380</v>
      </c>
      <c r="J15" s="46">
        <f t="shared" si="3"/>
        <v>1.25</v>
      </c>
      <c r="K15" s="31">
        <f t="shared" si="3"/>
        <v>0.11</v>
      </c>
      <c r="L15" s="31">
        <f t="shared" si="3"/>
        <v>1.36</v>
      </c>
      <c r="M15" s="16">
        <f t="shared" si="3"/>
        <v>1590</v>
      </c>
      <c r="N15" s="30">
        <f t="shared" si="3"/>
        <v>2.3199999999999998</v>
      </c>
      <c r="O15" s="38">
        <f t="shared" si="3"/>
        <v>5.0000000000000001E-4</v>
      </c>
      <c r="P15" s="31">
        <f t="shared" si="3"/>
        <v>0.124</v>
      </c>
    </row>
    <row r="16" spans="1:16">
      <c r="A16" s="14"/>
      <c r="B16" s="15" t="s">
        <v>102</v>
      </c>
      <c r="C16" s="85" t="s">
        <v>96</v>
      </c>
      <c r="D16" s="16">
        <f t="shared" ref="D16:P16" si="4">AVERAGE(D2:D13)</f>
        <v>5593.333333333333</v>
      </c>
      <c r="E16" s="16">
        <f t="shared" si="4"/>
        <v>1695.4545454545455</v>
      </c>
      <c r="F16" s="30">
        <f t="shared" si="4"/>
        <v>7.5166666666666666</v>
      </c>
      <c r="G16" s="31">
        <f t="shared" si="4"/>
        <v>12.35</v>
      </c>
      <c r="H16" s="31">
        <f t="shared" si="4"/>
        <v>0.10875000000000001</v>
      </c>
      <c r="I16" s="30">
        <f t="shared" si="4"/>
        <v>2237.5</v>
      </c>
      <c r="J16" s="46">
        <f t="shared" si="4"/>
        <v>1.05575</v>
      </c>
      <c r="K16" s="31">
        <f t="shared" si="4"/>
        <v>5.7500000000000002E-2</v>
      </c>
      <c r="L16" s="31">
        <f t="shared" si="4"/>
        <v>1.1132499999999999</v>
      </c>
      <c r="M16" s="16">
        <f t="shared" si="4"/>
        <v>1094.5</v>
      </c>
      <c r="N16" s="30">
        <f t="shared" si="4"/>
        <v>2.1816666666666666</v>
      </c>
      <c r="O16" s="38">
        <f t="shared" si="4"/>
        <v>4.3333333333333331E-4</v>
      </c>
      <c r="P16" s="31">
        <f t="shared" si="4"/>
        <v>3.7966666666666669E-2</v>
      </c>
    </row>
    <row r="17" spans="1:16">
      <c r="A17" s="14"/>
      <c r="B17" s="15" t="s">
        <v>103</v>
      </c>
      <c r="C17" s="85" t="s">
        <v>96</v>
      </c>
      <c r="D17" s="16">
        <f t="shared" ref="D17:P17" si="5">_xlfn.STDEV.P(D2:D13)</f>
        <v>104.10998457827611</v>
      </c>
      <c r="E17" s="16">
        <f t="shared" si="5"/>
        <v>57.106540998325123</v>
      </c>
      <c r="F17" s="30">
        <f t="shared" si="5"/>
        <v>0.218034146153507</v>
      </c>
      <c r="G17" s="31">
        <f t="shared" si="5"/>
        <v>0.96306801421291122</v>
      </c>
      <c r="H17" s="31">
        <f t="shared" si="5"/>
        <v>5.0295998846826763E-2</v>
      </c>
      <c r="I17" s="30">
        <f t="shared" si="5"/>
        <v>82.272413359521678</v>
      </c>
      <c r="J17" s="46">
        <f t="shared" si="5"/>
        <v>0.20503825862506714</v>
      </c>
      <c r="K17" s="31">
        <f t="shared" si="5"/>
        <v>2.6113534166532629E-2</v>
      </c>
      <c r="L17" s="31">
        <f t="shared" si="5"/>
        <v>0.222751402913652</v>
      </c>
      <c r="M17" s="16">
        <f t="shared" si="5"/>
        <v>158.5935580869118</v>
      </c>
      <c r="N17" s="30">
        <f t="shared" si="5"/>
        <v>8.9427189501975438E-2</v>
      </c>
      <c r="O17" s="38">
        <f t="shared" si="5"/>
        <v>1.1606990230986767E-4</v>
      </c>
      <c r="P17" s="31">
        <f t="shared" si="5"/>
        <v>2.8073692707269948E-2</v>
      </c>
    </row>
    <row r="18" spans="1:16" ht="12.75" customHeight="1">
      <c r="A18" s="17"/>
      <c r="B18" s="131" t="s">
        <v>112</v>
      </c>
      <c r="C18" s="130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</row>
    <row r="19" spans="1:16" ht="12.75" customHeight="1">
      <c r="A19" s="17"/>
      <c r="B19" s="130" t="s">
        <v>117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</row>
    <row r="20" spans="1:16" ht="12.75" customHeight="1">
      <c r="A20" s="17"/>
      <c r="B20" s="130" t="s">
        <v>114</v>
      </c>
      <c r="C20" s="130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</row>
    <row r="21" spans="1:16" ht="12.75" customHeight="1">
      <c r="A21" s="17"/>
      <c r="B21" s="130" t="s">
        <v>108</v>
      </c>
      <c r="C21" s="130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</row>
    <row r="22" spans="1:16" ht="12.75" customHeight="1">
      <c r="A22" s="18"/>
      <c r="B22" s="130" t="s">
        <v>115</v>
      </c>
      <c r="C22" s="130"/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</row>
    <row r="23" spans="1:16" ht="12.75" customHeight="1">
      <c r="A23" s="18"/>
      <c r="B23" s="130" t="s">
        <v>109</v>
      </c>
      <c r="C23" s="130"/>
      <c r="D23" s="130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</row>
    <row r="24" spans="1:16" ht="12.75" customHeight="1"/>
  </sheetData>
  <mergeCells count="6">
    <mergeCell ref="B23:P23"/>
    <mergeCell ref="B18:P18"/>
    <mergeCell ref="B19:P19"/>
    <mergeCell ref="B20:P20"/>
    <mergeCell ref="B21:P21"/>
    <mergeCell ref="B22:P22"/>
  </mergeCells>
  <printOptions horizontalCentered="1"/>
  <pageMargins left="0.25" right="0.25" top="1.0833333333333299" bottom="0.75" header="0.3" footer="0.3"/>
  <pageSetup orientation="landscape" r:id="rId1"/>
  <headerFooter alignWithMargins="0">
    <oddHeader>&amp;LBarrick Gold Inc. - Nickel Plate Mine&amp;C&amp;"-,Regular"&amp;18
Table 40 - W6_WELL Data&amp;RAnnual Report, 2017</oddHead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P23"/>
  <sheetViews>
    <sheetView view="pageLayout" zoomScaleNormal="100" workbookViewId="0">
      <selection activeCell="B33" sqref="B33"/>
    </sheetView>
  </sheetViews>
  <sheetFormatPr defaultColWidth="9.1328125" defaultRowHeight="15.75"/>
  <cols>
    <col min="1" max="1" width="10.3984375" style="19" customWidth="1"/>
    <col min="2" max="2" width="11" style="23" customWidth="1"/>
    <col min="3" max="3" width="4" style="19" bestFit="1" customWidth="1"/>
    <col min="4" max="5" width="6.86328125" style="19" bestFit="1" customWidth="1"/>
    <col min="6" max="6" width="5.73046875" style="19" customWidth="1"/>
    <col min="7" max="7" width="6.86328125" style="19" bestFit="1" customWidth="1"/>
    <col min="8" max="8" width="8" style="19" customWidth="1"/>
    <col min="9" max="9" width="9.73046875" style="19" customWidth="1"/>
    <col min="10" max="10" width="6.1328125" style="74" bestFit="1" customWidth="1"/>
    <col min="11" max="12" width="8" style="19" customWidth="1"/>
    <col min="13" max="14" width="6.86328125" style="19" bestFit="1" customWidth="1"/>
    <col min="15" max="15" width="9.265625" style="19" customWidth="1"/>
    <col min="16" max="16" width="8" style="19" customWidth="1"/>
    <col min="17" max="16384" width="9.1328125" style="19"/>
  </cols>
  <sheetData>
    <row r="1" spans="1:16" ht="132">
      <c r="A1" s="1" t="s">
        <v>45</v>
      </c>
      <c r="B1" s="2" t="s">
        <v>46</v>
      </c>
      <c r="C1" s="5" t="s">
        <v>47</v>
      </c>
      <c r="D1" s="5" t="s">
        <v>51</v>
      </c>
      <c r="E1" s="71" t="s">
        <v>0</v>
      </c>
      <c r="F1" s="4" t="s">
        <v>52</v>
      </c>
      <c r="G1" s="5" t="s">
        <v>56</v>
      </c>
      <c r="H1" s="7" t="s">
        <v>57</v>
      </c>
      <c r="I1" s="5" t="s">
        <v>59</v>
      </c>
      <c r="J1" s="73" t="s">
        <v>105</v>
      </c>
      <c r="K1" s="7" t="s">
        <v>60</v>
      </c>
      <c r="L1" s="7" t="s">
        <v>61</v>
      </c>
      <c r="M1" s="4" t="s">
        <v>62</v>
      </c>
      <c r="N1" s="9" t="s">
        <v>85</v>
      </c>
      <c r="O1" s="10" t="s">
        <v>86</v>
      </c>
      <c r="P1" s="7" t="s">
        <v>87</v>
      </c>
    </row>
    <row r="2" spans="1:16">
      <c r="A2" s="20" t="s">
        <v>16</v>
      </c>
      <c r="B2" s="21">
        <v>42740.5</v>
      </c>
      <c r="C2" s="84">
        <v>0</v>
      </c>
      <c r="D2" s="22">
        <v>5840</v>
      </c>
      <c r="E2" s="22">
        <v>1670</v>
      </c>
      <c r="F2" s="22">
        <v>7.23</v>
      </c>
      <c r="G2" s="22">
        <v>8.39</v>
      </c>
      <c r="H2" s="24">
        <f>0.5* 0.25</f>
        <v>0.125</v>
      </c>
      <c r="I2" s="22">
        <v>2480</v>
      </c>
      <c r="J2" s="72">
        <f>L2-K2</f>
        <v>1.9</v>
      </c>
      <c r="K2" s="24">
        <f t="shared" ref="K2:K10" si="0">0.5* 0.5</f>
        <v>0.25</v>
      </c>
      <c r="L2" s="22">
        <v>2.15</v>
      </c>
      <c r="M2" s="22">
        <v>875</v>
      </c>
      <c r="N2" s="22">
        <v>2.0699999999999998</v>
      </c>
      <c r="O2" s="24">
        <f>0.5* 0.0005</f>
        <v>2.5000000000000001E-4</v>
      </c>
      <c r="P2" s="22">
        <v>2.6599999999999999E-2</v>
      </c>
    </row>
    <row r="3" spans="1:16">
      <c r="A3" s="20" t="s">
        <v>16</v>
      </c>
      <c r="B3" s="21">
        <v>42774.5</v>
      </c>
      <c r="C3" s="84">
        <v>25.074567657399996</v>
      </c>
      <c r="D3" s="22">
        <v>5660</v>
      </c>
      <c r="E3" s="22">
        <v>1660</v>
      </c>
      <c r="F3" s="22">
        <v>7.89</v>
      </c>
      <c r="G3" s="22">
        <v>9.42</v>
      </c>
      <c r="H3" s="24">
        <f>0.5* 0.25</f>
        <v>0.125</v>
      </c>
      <c r="I3" s="22">
        <v>2280</v>
      </c>
      <c r="J3" s="72">
        <f t="shared" ref="J3:J13" si="1">L3-K3</f>
        <v>1.87</v>
      </c>
      <c r="K3" s="24">
        <f t="shared" si="0"/>
        <v>0.25</v>
      </c>
      <c r="L3" s="22">
        <v>2.12</v>
      </c>
      <c r="M3" s="22">
        <v>1070</v>
      </c>
      <c r="N3" s="22">
        <v>2.68</v>
      </c>
      <c r="O3" s="22">
        <v>1.01E-3</v>
      </c>
      <c r="P3" s="22">
        <v>2.4899999999999999E-2</v>
      </c>
    </row>
    <row r="4" spans="1:16">
      <c r="A4" s="20" t="s">
        <v>16</v>
      </c>
      <c r="B4" s="21">
        <v>42801.5</v>
      </c>
      <c r="C4" s="84">
        <v>25.619666954299998</v>
      </c>
      <c r="D4" s="22">
        <v>5460</v>
      </c>
      <c r="E4" s="22">
        <v>1790</v>
      </c>
      <c r="F4" s="22">
        <v>7.16</v>
      </c>
      <c r="G4" s="22">
        <v>9</v>
      </c>
      <c r="H4" s="24">
        <f>0.5* 0.1</f>
        <v>0.05</v>
      </c>
      <c r="I4" s="22">
        <v>2300</v>
      </c>
      <c r="J4" s="72">
        <f t="shared" si="1"/>
        <v>2.2200000000000002</v>
      </c>
      <c r="K4" s="24">
        <f t="shared" si="0"/>
        <v>0.25</v>
      </c>
      <c r="L4" s="22">
        <v>2.4700000000000002</v>
      </c>
      <c r="M4" s="22">
        <v>1080</v>
      </c>
      <c r="N4" s="22">
        <v>2.2000000000000002</v>
      </c>
      <c r="O4" s="24">
        <f>0.5* 0.001</f>
        <v>5.0000000000000001E-4</v>
      </c>
      <c r="P4" s="22">
        <v>0.14000000000000001</v>
      </c>
    </row>
    <row r="5" spans="1:16">
      <c r="A5" s="20" t="s">
        <v>16</v>
      </c>
      <c r="B5" s="21">
        <v>42837.5</v>
      </c>
      <c r="C5" s="84">
        <v>16.352978907000001</v>
      </c>
      <c r="D5" s="22">
        <v>5870</v>
      </c>
      <c r="E5" s="22">
        <v>1750</v>
      </c>
      <c r="F5" s="22">
        <v>7.42</v>
      </c>
      <c r="G5" s="22">
        <v>8.73</v>
      </c>
      <c r="H5" s="24">
        <f>0.5* 0.25</f>
        <v>0.125</v>
      </c>
      <c r="I5" s="22">
        <v>2290</v>
      </c>
      <c r="J5" s="72">
        <f t="shared" si="1"/>
        <v>1.85</v>
      </c>
      <c r="K5" s="24">
        <f t="shared" si="0"/>
        <v>0.25</v>
      </c>
      <c r="L5" s="22">
        <v>2.1</v>
      </c>
      <c r="M5" s="22">
        <v>1110</v>
      </c>
      <c r="N5" s="22">
        <v>2.2599999999999998</v>
      </c>
      <c r="O5" s="24">
        <f>0.5* 0.001</f>
        <v>5.0000000000000001E-4</v>
      </c>
      <c r="P5" s="24">
        <f>0.5* 0.05</f>
        <v>2.5000000000000001E-2</v>
      </c>
    </row>
    <row r="6" spans="1:16">
      <c r="A6" s="20" t="s">
        <v>16</v>
      </c>
      <c r="B6" s="21">
        <v>42865</v>
      </c>
      <c r="C6" s="84">
        <v>27.254964844999996</v>
      </c>
      <c r="D6" s="22">
        <v>5900</v>
      </c>
      <c r="E6" s="22">
        <v>1900</v>
      </c>
      <c r="F6" s="22">
        <v>7.51</v>
      </c>
      <c r="G6" s="22">
        <v>10.5</v>
      </c>
      <c r="H6" s="24">
        <f>0.5* 0.1</f>
        <v>0.05</v>
      </c>
      <c r="I6" s="22">
        <v>2710</v>
      </c>
      <c r="J6" s="72">
        <f t="shared" si="1"/>
        <v>2.2400000000000002</v>
      </c>
      <c r="K6" s="24">
        <f t="shared" si="0"/>
        <v>0.25</v>
      </c>
      <c r="L6" s="22">
        <v>2.4900000000000002</v>
      </c>
      <c r="M6" s="22">
        <v>1050</v>
      </c>
      <c r="N6" s="22">
        <v>2.5</v>
      </c>
      <c r="O6" s="24">
        <f>0.5* 0.001</f>
        <v>5.0000000000000001E-4</v>
      </c>
      <c r="P6" s="24">
        <f>0.5* 0.05</f>
        <v>2.5000000000000001E-2</v>
      </c>
    </row>
    <row r="7" spans="1:16">
      <c r="A7" s="20" t="s">
        <v>16</v>
      </c>
      <c r="B7" s="21">
        <v>42893.5</v>
      </c>
      <c r="C7" s="84">
        <v>7.0862908597000001</v>
      </c>
      <c r="D7" s="22">
        <v>5780</v>
      </c>
      <c r="E7" s="25" t="s">
        <v>96</v>
      </c>
      <c r="F7" s="22">
        <v>7.69</v>
      </c>
      <c r="G7" s="22">
        <v>12.3</v>
      </c>
      <c r="H7" s="24">
        <f>0.5* 0.1</f>
        <v>0.05</v>
      </c>
      <c r="I7" s="22">
        <v>2290</v>
      </c>
      <c r="J7" s="72">
        <f t="shared" si="1"/>
        <v>2.0099999999999998</v>
      </c>
      <c r="K7" s="24">
        <f t="shared" si="0"/>
        <v>0.25</v>
      </c>
      <c r="L7" s="22">
        <v>2.2599999999999998</v>
      </c>
      <c r="M7" s="22">
        <v>1740</v>
      </c>
      <c r="N7" s="22">
        <v>2.29</v>
      </c>
      <c r="O7" s="24">
        <f>0.5* 0.001</f>
        <v>5.0000000000000001E-4</v>
      </c>
      <c r="P7" s="24">
        <f>0.5* 0.05</f>
        <v>2.5000000000000001E-2</v>
      </c>
    </row>
    <row r="8" spans="1:16">
      <c r="A8" s="20" t="s">
        <v>16</v>
      </c>
      <c r="B8" s="21">
        <v>42928.5</v>
      </c>
      <c r="C8" s="84">
        <v>25.619666954299998</v>
      </c>
      <c r="D8" s="22">
        <v>5750</v>
      </c>
      <c r="E8" s="22">
        <v>1730</v>
      </c>
      <c r="F8" s="22">
        <v>7.8</v>
      </c>
      <c r="G8" s="22">
        <v>9.4600000000000009</v>
      </c>
      <c r="H8" s="24">
        <f>0.5* 0.25</f>
        <v>0.125</v>
      </c>
      <c r="I8" s="22">
        <v>2270</v>
      </c>
      <c r="J8" s="72">
        <f t="shared" si="1"/>
        <v>2.4700000000000002</v>
      </c>
      <c r="K8" s="24">
        <f t="shared" si="0"/>
        <v>0.25</v>
      </c>
      <c r="L8" s="22">
        <v>2.72</v>
      </c>
      <c r="M8" s="22">
        <v>1030</v>
      </c>
      <c r="N8" s="22">
        <v>2.21</v>
      </c>
      <c r="O8" s="24">
        <f>0.5* 0.001</f>
        <v>5.0000000000000001E-4</v>
      </c>
      <c r="P8" s="22">
        <v>0.49</v>
      </c>
    </row>
    <row r="9" spans="1:16">
      <c r="A9" s="20" t="s">
        <v>16</v>
      </c>
      <c r="B9" s="21">
        <v>42956.5</v>
      </c>
      <c r="C9" s="84">
        <v>23.984369063599999</v>
      </c>
      <c r="D9" s="22">
        <v>5770</v>
      </c>
      <c r="E9" s="22">
        <v>1720</v>
      </c>
      <c r="F9" s="22">
        <v>7.65</v>
      </c>
      <c r="G9" s="22">
        <v>9.9499999999999993</v>
      </c>
      <c r="H9" s="24">
        <f>0.5* 0.25</f>
        <v>0.125</v>
      </c>
      <c r="I9" s="22">
        <v>2330</v>
      </c>
      <c r="J9" s="72">
        <f t="shared" si="1"/>
        <v>1.9100000000000001</v>
      </c>
      <c r="K9" s="24">
        <f t="shared" si="0"/>
        <v>0.25</v>
      </c>
      <c r="L9" s="22">
        <v>2.16</v>
      </c>
      <c r="M9" s="22">
        <v>1140</v>
      </c>
      <c r="N9" s="22">
        <v>1.96</v>
      </c>
      <c r="O9" s="22">
        <v>6.4999999999999997E-3</v>
      </c>
      <c r="P9" s="24">
        <f>0.5* 0.05</f>
        <v>2.5000000000000001E-2</v>
      </c>
    </row>
    <row r="10" spans="1:16">
      <c r="A10" s="20" t="s">
        <v>16</v>
      </c>
      <c r="B10" s="21">
        <v>42984</v>
      </c>
      <c r="C10" s="84">
        <v>28.3451634388</v>
      </c>
      <c r="D10" s="22">
        <v>5730</v>
      </c>
      <c r="E10" s="22">
        <v>1760</v>
      </c>
      <c r="F10" s="22">
        <v>7.64</v>
      </c>
      <c r="G10" s="22">
        <v>11.8</v>
      </c>
      <c r="H10" s="24">
        <f>0.5* 0.25</f>
        <v>0.125</v>
      </c>
      <c r="I10" s="22">
        <v>2370</v>
      </c>
      <c r="J10" s="72">
        <f t="shared" si="1"/>
        <v>1.41</v>
      </c>
      <c r="K10" s="24">
        <f t="shared" si="0"/>
        <v>0.25</v>
      </c>
      <c r="L10" s="22">
        <v>1.66</v>
      </c>
      <c r="M10" s="22">
        <v>1040</v>
      </c>
      <c r="N10" s="22">
        <v>2.27</v>
      </c>
      <c r="O10" s="24">
        <f>0.5* 0.001</f>
        <v>5.0000000000000001E-4</v>
      </c>
      <c r="P10" s="22">
        <v>0.17899999999999999</v>
      </c>
    </row>
    <row r="11" spans="1:16">
      <c r="A11" s="20" t="s">
        <v>16</v>
      </c>
      <c r="B11" s="21">
        <v>43019.5</v>
      </c>
      <c r="C11" s="84">
        <v>25.074567657399996</v>
      </c>
      <c r="D11" s="22">
        <v>5670</v>
      </c>
      <c r="E11" s="22">
        <v>1670</v>
      </c>
      <c r="F11" s="22">
        <v>7.74</v>
      </c>
      <c r="G11" s="22">
        <v>10.4</v>
      </c>
      <c r="H11" s="24">
        <f>0.5* 0.1</f>
        <v>0.05</v>
      </c>
      <c r="I11" s="22">
        <v>2000</v>
      </c>
      <c r="J11" s="72">
        <f t="shared" si="1"/>
        <v>1.19</v>
      </c>
      <c r="K11" s="24">
        <f>0.5* 0.1</f>
        <v>0.05</v>
      </c>
      <c r="L11" s="22">
        <v>1.24</v>
      </c>
      <c r="M11" s="22">
        <v>1050</v>
      </c>
      <c r="N11" s="22">
        <v>2.1800000000000002</v>
      </c>
      <c r="O11" s="22">
        <v>1.2600000000000001E-3</v>
      </c>
      <c r="P11" s="24">
        <f>0.5* 0.03</f>
        <v>1.4999999999999999E-2</v>
      </c>
    </row>
    <row r="12" spans="1:16">
      <c r="A12" s="20" t="s">
        <v>16</v>
      </c>
      <c r="B12" s="21">
        <v>43047.5</v>
      </c>
      <c r="C12" s="84">
        <v>26.709865548100002</v>
      </c>
      <c r="D12" s="22">
        <v>5740</v>
      </c>
      <c r="E12" s="22">
        <v>1750</v>
      </c>
      <c r="F12" s="22">
        <v>7.68</v>
      </c>
      <c r="G12" s="22">
        <v>9.59</v>
      </c>
      <c r="H12" s="24">
        <f>0.5* 0.25</f>
        <v>0.125</v>
      </c>
      <c r="I12" s="22">
        <v>1910</v>
      </c>
      <c r="J12" s="72">
        <f t="shared" si="1"/>
        <v>0.77799999999999991</v>
      </c>
      <c r="K12" s="22">
        <v>4.8000000000000001E-2</v>
      </c>
      <c r="L12" s="22">
        <v>0.82599999999999996</v>
      </c>
      <c r="M12" s="22">
        <v>1080</v>
      </c>
      <c r="N12" s="22">
        <v>2.39</v>
      </c>
      <c r="O12" s="24">
        <f>0.5* 0.001</f>
        <v>5.0000000000000001E-4</v>
      </c>
      <c r="P12" s="24">
        <f>0.5* 0.05</f>
        <v>2.5000000000000001E-2</v>
      </c>
    </row>
    <row r="13" spans="1:16">
      <c r="A13" s="20" t="s">
        <v>16</v>
      </c>
      <c r="B13" s="21">
        <v>43075.5</v>
      </c>
      <c r="C13" s="84">
        <v>27.254964844999996</v>
      </c>
      <c r="D13" s="22">
        <v>5530</v>
      </c>
      <c r="E13" s="22">
        <v>1610</v>
      </c>
      <c r="F13" s="22">
        <v>7.69</v>
      </c>
      <c r="G13" s="22">
        <v>10.5</v>
      </c>
      <c r="H13" s="24">
        <f>0.5* 0.25</f>
        <v>0.125</v>
      </c>
      <c r="I13" s="22">
        <v>2350</v>
      </c>
      <c r="J13" s="72">
        <f t="shared" si="1"/>
        <v>0.75890000000000002</v>
      </c>
      <c r="K13" s="22">
        <v>1.61E-2</v>
      </c>
      <c r="L13" s="22">
        <v>0.77500000000000002</v>
      </c>
      <c r="M13" s="22">
        <v>1110</v>
      </c>
      <c r="N13" s="22">
        <v>2.2400000000000002</v>
      </c>
      <c r="O13" s="24">
        <f>0.5* 0.001</f>
        <v>5.0000000000000001E-4</v>
      </c>
      <c r="P13" s="24">
        <f>0.5* 0.05</f>
        <v>2.5000000000000001E-2</v>
      </c>
    </row>
    <row r="14" spans="1:16">
      <c r="A14" s="14"/>
      <c r="B14" s="15" t="s">
        <v>100</v>
      </c>
      <c r="C14" s="16">
        <f t="shared" ref="C14:P14" si="2">MIN(C2:C13)</f>
        <v>0</v>
      </c>
      <c r="D14" s="16">
        <f t="shared" si="2"/>
        <v>5460</v>
      </c>
      <c r="E14" s="16">
        <f t="shared" si="2"/>
        <v>1610</v>
      </c>
      <c r="F14" s="30">
        <f t="shared" si="2"/>
        <v>7.16</v>
      </c>
      <c r="G14" s="30">
        <f t="shared" si="2"/>
        <v>8.39</v>
      </c>
      <c r="H14" s="31">
        <f t="shared" si="2"/>
        <v>0.05</v>
      </c>
      <c r="I14" s="30">
        <f t="shared" si="2"/>
        <v>1910</v>
      </c>
      <c r="J14" s="46">
        <f t="shared" si="2"/>
        <v>0.75890000000000002</v>
      </c>
      <c r="K14" s="31">
        <f t="shared" si="2"/>
        <v>1.61E-2</v>
      </c>
      <c r="L14" s="31">
        <f t="shared" si="2"/>
        <v>0.77500000000000002</v>
      </c>
      <c r="M14" s="16">
        <f t="shared" si="2"/>
        <v>875</v>
      </c>
      <c r="N14" s="37">
        <f t="shared" si="2"/>
        <v>1.96</v>
      </c>
      <c r="O14" s="38">
        <f t="shared" si="2"/>
        <v>2.5000000000000001E-4</v>
      </c>
      <c r="P14" s="31">
        <f t="shared" si="2"/>
        <v>1.4999999999999999E-2</v>
      </c>
    </row>
    <row r="15" spans="1:16">
      <c r="A15" s="14"/>
      <c r="B15" s="15" t="s">
        <v>101</v>
      </c>
      <c r="C15" s="16">
        <f t="shared" ref="C15:P15" si="3">MAX(C2:C13)</f>
        <v>28.3451634388</v>
      </c>
      <c r="D15" s="16">
        <f t="shared" si="3"/>
        <v>5900</v>
      </c>
      <c r="E15" s="16">
        <f t="shared" si="3"/>
        <v>1900</v>
      </c>
      <c r="F15" s="30">
        <f t="shared" si="3"/>
        <v>7.89</v>
      </c>
      <c r="G15" s="30">
        <f t="shared" si="3"/>
        <v>12.3</v>
      </c>
      <c r="H15" s="31">
        <f t="shared" si="3"/>
        <v>0.125</v>
      </c>
      <c r="I15" s="30">
        <f t="shared" si="3"/>
        <v>2710</v>
      </c>
      <c r="J15" s="46">
        <f t="shared" si="3"/>
        <v>2.4700000000000002</v>
      </c>
      <c r="K15" s="31">
        <f t="shared" si="3"/>
        <v>0.25</v>
      </c>
      <c r="L15" s="31">
        <f t="shared" si="3"/>
        <v>2.72</v>
      </c>
      <c r="M15" s="16">
        <f t="shared" si="3"/>
        <v>1740</v>
      </c>
      <c r="N15" s="37">
        <f t="shared" si="3"/>
        <v>2.68</v>
      </c>
      <c r="O15" s="38">
        <f t="shared" si="3"/>
        <v>6.4999999999999997E-3</v>
      </c>
      <c r="P15" s="31">
        <f t="shared" si="3"/>
        <v>0.49</v>
      </c>
    </row>
    <row r="16" spans="1:16">
      <c r="A16" s="14"/>
      <c r="B16" s="15" t="s">
        <v>102</v>
      </c>
      <c r="C16" s="16">
        <f t="shared" ref="C16:P16" si="4">AVERAGE(C2:C13)</f>
        <v>21.531422227549999</v>
      </c>
      <c r="D16" s="16">
        <f t="shared" si="4"/>
        <v>5725</v>
      </c>
      <c r="E16" s="16">
        <f t="shared" si="4"/>
        <v>1728.1818181818182</v>
      </c>
      <c r="F16" s="30">
        <f t="shared" si="4"/>
        <v>7.5916666666666659</v>
      </c>
      <c r="G16" s="30">
        <f t="shared" si="4"/>
        <v>10.003333333333336</v>
      </c>
      <c r="H16" s="31">
        <f t="shared" si="4"/>
        <v>0.10000000000000002</v>
      </c>
      <c r="I16" s="30">
        <f t="shared" si="4"/>
        <v>2298.3333333333335</v>
      </c>
      <c r="J16" s="46">
        <f t="shared" si="4"/>
        <v>1.7172416666666666</v>
      </c>
      <c r="K16" s="31">
        <f t="shared" si="4"/>
        <v>0.19700833333333331</v>
      </c>
      <c r="L16" s="31">
        <f t="shared" si="4"/>
        <v>1.9142499999999998</v>
      </c>
      <c r="M16" s="16">
        <f t="shared" si="4"/>
        <v>1114.5833333333333</v>
      </c>
      <c r="N16" s="37">
        <f t="shared" si="4"/>
        <v>2.2708333333333335</v>
      </c>
      <c r="O16" s="38">
        <f t="shared" si="4"/>
        <v>1.0850000000000002E-3</v>
      </c>
      <c r="P16" s="31">
        <f t="shared" si="4"/>
        <v>8.5458333333333317E-2</v>
      </c>
    </row>
    <row r="17" spans="1:16">
      <c r="A17" s="14"/>
      <c r="B17" s="15" t="s">
        <v>103</v>
      </c>
      <c r="C17" s="16">
        <f t="shared" ref="C17:P17" si="5">_xlfn.STDEV.P(C2:C13)</f>
        <v>8.6717628948377339</v>
      </c>
      <c r="D17" s="16">
        <f t="shared" si="5"/>
        <v>124.59935794377112</v>
      </c>
      <c r="E17" s="16">
        <f t="shared" si="5"/>
        <v>74.323394312617069</v>
      </c>
      <c r="F17" s="30">
        <f t="shared" si="5"/>
        <v>0.21224330901637906</v>
      </c>
      <c r="G17" s="30">
        <f t="shared" si="5"/>
        <v>1.1252209659538841</v>
      </c>
      <c r="H17" s="31">
        <f t="shared" si="5"/>
        <v>3.5355339059327348E-2</v>
      </c>
      <c r="I17" s="30">
        <f t="shared" si="5"/>
        <v>194.15772511600517</v>
      </c>
      <c r="J17" s="46">
        <f t="shared" si="5"/>
        <v>0.53719067914837182</v>
      </c>
      <c r="K17" s="31">
        <f t="shared" si="5"/>
        <v>9.2112164038681082E-2</v>
      </c>
      <c r="L17" s="31">
        <f t="shared" si="5"/>
        <v>0.61936555240019664</v>
      </c>
      <c r="M17" s="16">
        <f t="shared" si="5"/>
        <v>198.88709457601539</v>
      </c>
      <c r="N17" s="37">
        <f t="shared" si="5"/>
        <v>0.1801600368807936</v>
      </c>
      <c r="O17" s="38">
        <f t="shared" si="5"/>
        <v>1.6531157450906653E-3</v>
      </c>
      <c r="P17" s="31">
        <f t="shared" si="5"/>
        <v>0.13210035615857446</v>
      </c>
    </row>
    <row r="18" spans="1:16" ht="12.75" customHeight="1">
      <c r="A18" s="17"/>
      <c r="B18" s="131" t="s">
        <v>112</v>
      </c>
      <c r="C18" s="130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</row>
    <row r="19" spans="1:16" ht="12.75" customHeight="1">
      <c r="A19" s="17"/>
      <c r="B19" s="130" t="s">
        <v>117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</row>
    <row r="20" spans="1:16" ht="12.75" customHeight="1">
      <c r="A20" s="17"/>
      <c r="B20" s="130" t="s">
        <v>114</v>
      </c>
      <c r="C20" s="130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</row>
    <row r="21" spans="1:16" ht="12.75" customHeight="1">
      <c r="A21" s="17"/>
      <c r="B21" s="130" t="s">
        <v>108</v>
      </c>
      <c r="C21" s="130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</row>
    <row r="22" spans="1:16" ht="12.75" customHeight="1">
      <c r="A22" s="18"/>
      <c r="B22" s="130" t="s">
        <v>115</v>
      </c>
      <c r="C22" s="130"/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</row>
    <row r="23" spans="1:16" ht="12.75" customHeight="1"/>
  </sheetData>
  <mergeCells count="5">
    <mergeCell ref="B18:P18"/>
    <mergeCell ref="B19:P19"/>
    <mergeCell ref="B20:P20"/>
    <mergeCell ref="B21:P21"/>
    <mergeCell ref="B22:P22"/>
  </mergeCells>
  <printOptions horizontalCentered="1"/>
  <pageMargins left="0.25" right="0.25" top="1.0833333333333299" bottom="0.75" header="0.3" footer="0.3"/>
  <pageSetup orientation="landscape" r:id="rId1"/>
  <headerFooter alignWithMargins="0">
    <oddHeader>&amp;LBarrick Gold Inc. - Nickel Plate Mine&amp;C&amp;"-,Regular"&amp;18
Table 41 - W7_WELL Data&amp;RAnnual Report, 2017</oddHead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P24"/>
  <sheetViews>
    <sheetView view="pageLayout" zoomScaleNormal="100" workbookViewId="0">
      <selection activeCell="B33" sqref="B33"/>
    </sheetView>
  </sheetViews>
  <sheetFormatPr defaultColWidth="9.1328125" defaultRowHeight="15.75"/>
  <cols>
    <col min="1" max="1" width="10.3984375" style="19" customWidth="1"/>
    <col min="2" max="2" width="11" style="23" customWidth="1"/>
    <col min="3" max="3" width="9" style="19" customWidth="1"/>
    <col min="4" max="5" width="6.86328125" style="19" bestFit="1" customWidth="1"/>
    <col min="6" max="6" width="5.73046875" style="19" customWidth="1"/>
    <col min="7" max="7" width="8" style="19" bestFit="1" customWidth="1"/>
    <col min="8" max="8" width="8" style="19" customWidth="1"/>
    <col min="9" max="9" width="9.73046875" style="19" customWidth="1"/>
    <col min="10" max="10" width="6.1328125" style="74" bestFit="1" customWidth="1"/>
    <col min="11" max="12" width="8" style="19" customWidth="1"/>
    <col min="13" max="13" width="5.1328125" style="19" bestFit="1" customWidth="1"/>
    <col min="14" max="14" width="6.73046875" style="19" bestFit="1" customWidth="1"/>
    <col min="15" max="15" width="9.1328125" style="19" bestFit="1" customWidth="1"/>
    <col min="16" max="16" width="8" style="19" customWidth="1"/>
    <col min="17" max="16384" width="9.1328125" style="19"/>
  </cols>
  <sheetData>
    <row r="1" spans="1:16" ht="132">
      <c r="A1" s="1" t="s">
        <v>45</v>
      </c>
      <c r="B1" s="2" t="s">
        <v>46</v>
      </c>
      <c r="C1" s="5" t="s">
        <v>47</v>
      </c>
      <c r="D1" s="5" t="s">
        <v>51</v>
      </c>
      <c r="E1" s="71" t="s">
        <v>0</v>
      </c>
      <c r="F1" s="4" t="s">
        <v>52</v>
      </c>
      <c r="G1" s="5" t="s">
        <v>56</v>
      </c>
      <c r="H1" s="7" t="s">
        <v>57</v>
      </c>
      <c r="I1" s="5" t="s">
        <v>59</v>
      </c>
      <c r="J1" s="73" t="s">
        <v>105</v>
      </c>
      <c r="K1" s="7" t="s">
        <v>60</v>
      </c>
      <c r="L1" s="7" t="s">
        <v>61</v>
      </c>
      <c r="M1" s="4" t="s">
        <v>62</v>
      </c>
      <c r="N1" s="9" t="s">
        <v>85</v>
      </c>
      <c r="O1" s="10" t="s">
        <v>86</v>
      </c>
      <c r="P1" s="7" t="s">
        <v>87</v>
      </c>
    </row>
    <row r="2" spans="1:16">
      <c r="A2" s="20" t="s">
        <v>32</v>
      </c>
      <c r="B2" s="21">
        <v>42740.5</v>
      </c>
      <c r="C2" s="84" t="s">
        <v>118</v>
      </c>
      <c r="D2" s="22">
        <v>3940</v>
      </c>
      <c r="E2" s="22">
        <v>1340</v>
      </c>
      <c r="F2" s="22">
        <v>7.43</v>
      </c>
      <c r="G2" s="22">
        <v>4.88</v>
      </c>
      <c r="H2" s="24">
        <f t="shared" ref="H2:H13" si="0">0.5* 0.1</f>
        <v>0.05</v>
      </c>
      <c r="I2" s="22">
        <v>1710</v>
      </c>
      <c r="J2" s="72">
        <f>L2-K2</f>
        <v>0.74</v>
      </c>
      <c r="K2" s="24">
        <f t="shared" ref="K2:K10" si="1">0.5* 0.1</f>
        <v>0.05</v>
      </c>
      <c r="L2" s="22">
        <v>0.79</v>
      </c>
      <c r="M2" s="22">
        <v>478</v>
      </c>
      <c r="N2" s="22">
        <v>0.99</v>
      </c>
      <c r="O2" s="24">
        <f>0.5* 0.0002</f>
        <v>1E-4</v>
      </c>
      <c r="P2" s="22">
        <v>2.3400000000000001E-2</v>
      </c>
    </row>
    <row r="3" spans="1:16">
      <c r="A3" s="20" t="s">
        <v>32</v>
      </c>
      <c r="B3" s="21">
        <v>42774.5</v>
      </c>
      <c r="C3" s="84" t="s">
        <v>118</v>
      </c>
      <c r="D3" s="22">
        <v>3980</v>
      </c>
      <c r="E3" s="22">
        <v>1400</v>
      </c>
      <c r="F3" s="22">
        <v>7.77</v>
      </c>
      <c r="G3" s="22">
        <v>4.6500000000000004</v>
      </c>
      <c r="H3" s="24">
        <f t="shared" si="0"/>
        <v>0.05</v>
      </c>
      <c r="I3" s="22">
        <v>1760</v>
      </c>
      <c r="J3" s="72">
        <f t="shared" ref="J3:J13" si="2">L3-K3</f>
        <v>0.57999999999999996</v>
      </c>
      <c r="K3" s="24">
        <f t="shared" si="1"/>
        <v>0.05</v>
      </c>
      <c r="L3" s="22">
        <v>0.63</v>
      </c>
      <c r="M3" s="22">
        <v>530</v>
      </c>
      <c r="N3" s="22">
        <v>0.98699999999999999</v>
      </c>
      <c r="O3" s="22">
        <v>6.8000000000000005E-4</v>
      </c>
      <c r="P3" s="22">
        <v>1.4800000000000001E-2</v>
      </c>
    </row>
    <row r="4" spans="1:16">
      <c r="A4" s="20" t="s">
        <v>32</v>
      </c>
      <c r="B4" s="21">
        <v>42801.5</v>
      </c>
      <c r="C4" s="84" t="s">
        <v>118</v>
      </c>
      <c r="D4" s="22">
        <v>3880</v>
      </c>
      <c r="E4" s="22">
        <v>1390</v>
      </c>
      <c r="F4" s="22">
        <v>7.46</v>
      </c>
      <c r="G4" s="22">
        <v>6.28</v>
      </c>
      <c r="H4" s="24">
        <f t="shared" si="0"/>
        <v>0.05</v>
      </c>
      <c r="I4" s="22">
        <v>1730</v>
      </c>
      <c r="J4" s="72">
        <f t="shared" si="2"/>
        <v>0.64999999999999991</v>
      </c>
      <c r="K4" s="24">
        <f t="shared" si="1"/>
        <v>0.05</v>
      </c>
      <c r="L4" s="22">
        <v>0.7</v>
      </c>
      <c r="M4" s="22">
        <v>518</v>
      </c>
      <c r="N4" s="22">
        <v>1.01</v>
      </c>
      <c r="O4" s="24">
        <f>0.5* 0.0004</f>
        <v>2.0000000000000001E-4</v>
      </c>
      <c r="P4" s="24">
        <f>0.5* 0.03</f>
        <v>1.4999999999999999E-2</v>
      </c>
    </row>
    <row r="5" spans="1:16">
      <c r="A5" s="20" t="s">
        <v>32</v>
      </c>
      <c r="B5" s="21">
        <v>42837.5</v>
      </c>
      <c r="C5" s="84" t="s">
        <v>118</v>
      </c>
      <c r="D5" s="22">
        <v>3980</v>
      </c>
      <c r="E5" s="22">
        <v>1370</v>
      </c>
      <c r="F5" s="22">
        <v>7.64</v>
      </c>
      <c r="G5" s="22">
        <v>4.32</v>
      </c>
      <c r="H5" s="24">
        <f t="shared" si="0"/>
        <v>0.05</v>
      </c>
      <c r="I5" s="22">
        <v>1830</v>
      </c>
      <c r="J5" s="72">
        <f t="shared" si="2"/>
        <v>0.56999999999999995</v>
      </c>
      <c r="K5" s="24">
        <f t="shared" si="1"/>
        <v>0.05</v>
      </c>
      <c r="L5" s="22">
        <v>0.62</v>
      </c>
      <c r="M5" s="22">
        <v>477</v>
      </c>
      <c r="N5" s="22">
        <v>1.04</v>
      </c>
      <c r="O5" s="24">
        <f>0.5* 0.0004</f>
        <v>2.0000000000000001E-4</v>
      </c>
      <c r="P5" s="24">
        <f>0.5* 0.02</f>
        <v>0.01</v>
      </c>
    </row>
    <row r="6" spans="1:16">
      <c r="A6" s="20" t="s">
        <v>32</v>
      </c>
      <c r="B6" s="21">
        <v>42865</v>
      </c>
      <c r="C6" s="84" t="s">
        <v>118</v>
      </c>
      <c r="D6" s="22">
        <v>3930</v>
      </c>
      <c r="E6" s="22">
        <v>1540</v>
      </c>
      <c r="F6" s="22">
        <v>7.88</v>
      </c>
      <c r="G6" s="22">
        <v>5.08</v>
      </c>
      <c r="H6" s="24">
        <f t="shared" si="0"/>
        <v>0.05</v>
      </c>
      <c r="I6" s="22">
        <v>1750</v>
      </c>
      <c r="J6" s="72">
        <f t="shared" si="2"/>
        <v>0.77999999999999992</v>
      </c>
      <c r="K6" s="24">
        <f t="shared" si="1"/>
        <v>0.05</v>
      </c>
      <c r="L6" s="22">
        <v>0.83</v>
      </c>
      <c r="M6" s="22">
        <v>454</v>
      </c>
      <c r="N6" s="22">
        <v>1.06</v>
      </c>
      <c r="O6" s="24">
        <f>0.5* 0.0004</f>
        <v>2.0000000000000001E-4</v>
      </c>
      <c r="P6" s="22">
        <v>3.5000000000000003E-2</v>
      </c>
    </row>
    <row r="7" spans="1:16">
      <c r="A7" s="20" t="s">
        <v>32</v>
      </c>
      <c r="B7" s="21">
        <v>42893.5</v>
      </c>
      <c r="C7" s="84" t="s">
        <v>118</v>
      </c>
      <c r="D7" s="22">
        <v>4100</v>
      </c>
      <c r="E7" s="25" t="s">
        <v>96</v>
      </c>
      <c r="F7" s="22">
        <v>7.66</v>
      </c>
      <c r="G7" s="22">
        <v>6.98</v>
      </c>
      <c r="H7" s="24">
        <f t="shared" si="0"/>
        <v>0.05</v>
      </c>
      <c r="I7" s="22">
        <v>1870</v>
      </c>
      <c r="J7" s="72">
        <f t="shared" si="2"/>
        <v>0.67999999999999994</v>
      </c>
      <c r="K7" s="24">
        <f t="shared" si="1"/>
        <v>0.05</v>
      </c>
      <c r="L7" s="22">
        <v>0.73</v>
      </c>
      <c r="M7" s="22">
        <v>777</v>
      </c>
      <c r="N7" s="22">
        <v>1.04</v>
      </c>
      <c r="O7" s="24">
        <f>0.5* 0.0004</f>
        <v>2.0000000000000001E-4</v>
      </c>
      <c r="P7" s="24">
        <f>0.5* 0.02</f>
        <v>0.01</v>
      </c>
    </row>
    <row r="8" spans="1:16">
      <c r="A8" s="20" t="s">
        <v>32</v>
      </c>
      <c r="B8" s="21">
        <v>42928.5</v>
      </c>
      <c r="C8" s="84" t="s">
        <v>118</v>
      </c>
      <c r="D8" s="22">
        <v>4130</v>
      </c>
      <c r="E8" s="22">
        <v>3440</v>
      </c>
      <c r="F8" s="22">
        <v>7.92</v>
      </c>
      <c r="G8" s="22">
        <v>5.34</v>
      </c>
      <c r="H8" s="24">
        <f t="shared" si="0"/>
        <v>0.05</v>
      </c>
      <c r="I8" s="22">
        <v>1860</v>
      </c>
      <c r="J8" s="72">
        <f t="shared" si="2"/>
        <v>0.75</v>
      </c>
      <c r="K8" s="24">
        <f t="shared" si="1"/>
        <v>0.05</v>
      </c>
      <c r="L8" s="22">
        <v>0.8</v>
      </c>
      <c r="M8" s="22">
        <v>465</v>
      </c>
      <c r="N8" s="22">
        <v>2.62</v>
      </c>
      <c r="O8" s="24">
        <f>0.5* 0.001</f>
        <v>5.0000000000000001E-4</v>
      </c>
      <c r="P8" s="24">
        <f>0.5* 0.05</f>
        <v>2.5000000000000001E-2</v>
      </c>
    </row>
    <row r="9" spans="1:16" ht="15.75" customHeight="1">
      <c r="A9" s="20" t="s">
        <v>32</v>
      </c>
      <c r="B9" s="21">
        <v>42956.5</v>
      </c>
      <c r="C9" s="84" t="s">
        <v>118</v>
      </c>
      <c r="D9" s="22">
        <v>3970</v>
      </c>
      <c r="E9" s="22">
        <v>3540</v>
      </c>
      <c r="F9" s="22">
        <v>7.54</v>
      </c>
      <c r="G9" s="22">
        <v>6.18</v>
      </c>
      <c r="H9" s="24">
        <f t="shared" si="0"/>
        <v>0.05</v>
      </c>
      <c r="I9" s="22">
        <v>1800</v>
      </c>
      <c r="J9" s="72">
        <f t="shared" si="2"/>
        <v>0.6</v>
      </c>
      <c r="K9" s="24">
        <f t="shared" si="1"/>
        <v>0.05</v>
      </c>
      <c r="L9" s="22">
        <v>0.65</v>
      </c>
      <c r="M9" s="22">
        <v>476</v>
      </c>
      <c r="N9" s="22">
        <v>2.2999999999999998</v>
      </c>
      <c r="O9" s="24">
        <f>0.5* 0.001</f>
        <v>5.0000000000000001E-4</v>
      </c>
      <c r="P9" s="24">
        <f>0.5* 0.05</f>
        <v>2.5000000000000001E-2</v>
      </c>
    </row>
    <row r="10" spans="1:16" ht="15.75" customHeight="1">
      <c r="A10" s="20" t="s">
        <v>32</v>
      </c>
      <c r="B10" s="21">
        <v>42984</v>
      </c>
      <c r="C10" s="84" t="s">
        <v>118</v>
      </c>
      <c r="D10" s="22">
        <v>4320</v>
      </c>
      <c r="E10" s="22">
        <v>1500</v>
      </c>
      <c r="F10" s="22">
        <v>7.96</v>
      </c>
      <c r="G10" s="22">
        <v>5.61</v>
      </c>
      <c r="H10" s="24">
        <f t="shared" si="0"/>
        <v>0.05</v>
      </c>
      <c r="I10" s="22">
        <v>1890</v>
      </c>
      <c r="J10" s="72">
        <f t="shared" si="2"/>
        <v>0.52999999999999992</v>
      </c>
      <c r="K10" s="24">
        <f t="shared" si="1"/>
        <v>0.05</v>
      </c>
      <c r="L10" s="22">
        <v>0.57999999999999996</v>
      </c>
      <c r="M10" s="22">
        <v>498</v>
      </c>
      <c r="N10" s="22">
        <v>1.1399999999999999</v>
      </c>
      <c r="O10" s="24">
        <f>0.5* 0.0004</f>
        <v>2.0000000000000001E-4</v>
      </c>
      <c r="P10" s="24">
        <f>0.5* 0.02</f>
        <v>0.01</v>
      </c>
    </row>
    <row r="11" spans="1:16" ht="15.75" customHeight="1">
      <c r="A11" s="20" t="s">
        <v>32</v>
      </c>
      <c r="B11" s="21">
        <v>43019.5</v>
      </c>
      <c r="C11" s="84" t="s">
        <v>118</v>
      </c>
      <c r="D11" s="22">
        <v>3550</v>
      </c>
      <c r="E11" s="22">
        <v>1260</v>
      </c>
      <c r="F11" s="22">
        <v>7.57</v>
      </c>
      <c r="G11" s="22">
        <v>3.88</v>
      </c>
      <c r="H11" s="24">
        <f t="shared" si="0"/>
        <v>0.05</v>
      </c>
      <c r="I11" s="22">
        <v>1520</v>
      </c>
      <c r="J11" s="72">
        <f t="shared" si="2"/>
        <v>0.38700000000000001</v>
      </c>
      <c r="K11" s="22">
        <v>4.2000000000000003E-2</v>
      </c>
      <c r="L11" s="22">
        <v>0.42899999999999999</v>
      </c>
      <c r="M11" s="22">
        <v>425</v>
      </c>
      <c r="N11" s="22">
        <v>0.92600000000000005</v>
      </c>
      <c r="O11" s="24">
        <f>0.5* 0.0004</f>
        <v>2.0000000000000001E-4</v>
      </c>
      <c r="P11" s="24">
        <f>0.5* 0.02</f>
        <v>0.01</v>
      </c>
    </row>
    <row r="12" spans="1:16" ht="15.75" customHeight="1">
      <c r="A12" s="20" t="s">
        <v>32</v>
      </c>
      <c r="B12" s="21">
        <v>43047.5</v>
      </c>
      <c r="C12" s="84" t="s">
        <v>118</v>
      </c>
      <c r="D12" s="22">
        <v>4230</v>
      </c>
      <c r="E12" s="22">
        <v>1480</v>
      </c>
      <c r="F12" s="22">
        <v>7.72</v>
      </c>
      <c r="G12" s="22">
        <v>5.32</v>
      </c>
      <c r="H12" s="24">
        <f t="shared" si="0"/>
        <v>0.05</v>
      </c>
      <c r="I12" s="22">
        <v>1920</v>
      </c>
      <c r="J12" s="72">
        <f t="shared" si="2"/>
        <v>0.38040000000000002</v>
      </c>
      <c r="K12" s="22">
        <v>1.8599999999999998E-2</v>
      </c>
      <c r="L12" s="22">
        <v>0.39900000000000002</v>
      </c>
      <c r="M12" s="22">
        <v>523</v>
      </c>
      <c r="N12" s="22">
        <v>1.1399999999999999</v>
      </c>
      <c r="O12" s="24">
        <f>0.5* 0.001</f>
        <v>5.0000000000000001E-4</v>
      </c>
      <c r="P12" s="24">
        <f>0.5* 0.05</f>
        <v>2.5000000000000001E-2</v>
      </c>
    </row>
    <row r="13" spans="1:16" ht="15.75" customHeight="1">
      <c r="A13" s="20" t="s">
        <v>32</v>
      </c>
      <c r="B13" s="21">
        <v>43075.5</v>
      </c>
      <c r="C13" s="84" t="s">
        <v>118</v>
      </c>
      <c r="D13" s="22">
        <v>4190</v>
      </c>
      <c r="E13" s="22">
        <v>1370</v>
      </c>
      <c r="F13" s="22">
        <v>7.63</v>
      </c>
      <c r="G13" s="22">
        <v>7.09</v>
      </c>
      <c r="H13" s="24">
        <f t="shared" si="0"/>
        <v>0.05</v>
      </c>
      <c r="I13" s="22">
        <v>1910</v>
      </c>
      <c r="J13" s="72">
        <f t="shared" si="2"/>
        <v>0.29349999999999998</v>
      </c>
      <c r="K13" s="22">
        <v>1.55E-2</v>
      </c>
      <c r="L13" s="22">
        <v>0.309</v>
      </c>
      <c r="M13" s="22">
        <v>560</v>
      </c>
      <c r="N13" s="22">
        <v>1.07</v>
      </c>
      <c r="O13" s="24">
        <f>0.5* 0.0004</f>
        <v>2.0000000000000001E-4</v>
      </c>
      <c r="P13" s="24">
        <f>0.5* 0.02</f>
        <v>0.01</v>
      </c>
    </row>
    <row r="14" spans="1:16">
      <c r="A14" s="14"/>
      <c r="B14" s="15" t="s">
        <v>100</v>
      </c>
      <c r="C14" s="85" t="s">
        <v>96</v>
      </c>
      <c r="D14" s="16">
        <f t="shared" ref="D14:P14" si="3">MIN(D2:D13)</f>
        <v>3550</v>
      </c>
      <c r="E14" s="16">
        <f t="shared" si="3"/>
        <v>1260</v>
      </c>
      <c r="F14" s="30">
        <f t="shared" si="3"/>
        <v>7.43</v>
      </c>
      <c r="G14" s="31">
        <f t="shared" si="3"/>
        <v>3.88</v>
      </c>
      <c r="H14" s="31">
        <f t="shared" si="3"/>
        <v>0.05</v>
      </c>
      <c r="I14" s="30">
        <f t="shared" si="3"/>
        <v>1520</v>
      </c>
      <c r="J14" s="46">
        <f t="shared" si="3"/>
        <v>0.29349999999999998</v>
      </c>
      <c r="K14" s="31">
        <f t="shared" si="3"/>
        <v>1.55E-2</v>
      </c>
      <c r="L14" s="31">
        <f t="shared" si="3"/>
        <v>0.309</v>
      </c>
      <c r="M14" s="16">
        <f t="shared" si="3"/>
        <v>425</v>
      </c>
      <c r="N14" s="30">
        <f t="shared" si="3"/>
        <v>0.92600000000000005</v>
      </c>
      <c r="O14" s="38">
        <f t="shared" si="3"/>
        <v>1E-4</v>
      </c>
      <c r="P14" s="31">
        <f t="shared" si="3"/>
        <v>0.01</v>
      </c>
    </row>
    <row r="15" spans="1:16">
      <c r="A15" s="14"/>
      <c r="B15" s="15" t="s">
        <v>101</v>
      </c>
      <c r="C15" s="85" t="s">
        <v>96</v>
      </c>
      <c r="D15" s="16">
        <f t="shared" ref="D15:P15" si="4">MAX(D2:D13)</f>
        <v>4320</v>
      </c>
      <c r="E15" s="16">
        <f t="shared" si="4"/>
        <v>3540</v>
      </c>
      <c r="F15" s="30">
        <f t="shared" si="4"/>
        <v>7.96</v>
      </c>
      <c r="G15" s="31">
        <f t="shared" si="4"/>
        <v>7.09</v>
      </c>
      <c r="H15" s="31">
        <f t="shared" si="4"/>
        <v>0.05</v>
      </c>
      <c r="I15" s="30">
        <f t="shared" si="4"/>
        <v>1920</v>
      </c>
      <c r="J15" s="46">
        <f t="shared" si="4"/>
        <v>0.77999999999999992</v>
      </c>
      <c r="K15" s="31">
        <f t="shared" si="4"/>
        <v>0.05</v>
      </c>
      <c r="L15" s="31">
        <f t="shared" si="4"/>
        <v>0.83</v>
      </c>
      <c r="M15" s="16">
        <f t="shared" si="4"/>
        <v>777</v>
      </c>
      <c r="N15" s="30">
        <f t="shared" si="4"/>
        <v>2.62</v>
      </c>
      <c r="O15" s="38">
        <f t="shared" si="4"/>
        <v>6.8000000000000005E-4</v>
      </c>
      <c r="P15" s="31">
        <f t="shared" si="4"/>
        <v>3.5000000000000003E-2</v>
      </c>
    </row>
    <row r="16" spans="1:16">
      <c r="A16" s="14"/>
      <c r="B16" s="15" t="s">
        <v>102</v>
      </c>
      <c r="C16" s="85" t="s">
        <v>96</v>
      </c>
      <c r="D16" s="16">
        <f t="shared" ref="D16:P16" si="5">AVERAGE(D2:D13)</f>
        <v>4016.6666666666665</v>
      </c>
      <c r="E16" s="16">
        <f t="shared" si="5"/>
        <v>1784.5454545454545</v>
      </c>
      <c r="F16" s="30">
        <f t="shared" si="5"/>
        <v>7.6816666666666675</v>
      </c>
      <c r="G16" s="31">
        <f t="shared" si="5"/>
        <v>5.4675000000000002</v>
      </c>
      <c r="H16" s="31">
        <f t="shared" si="5"/>
        <v>4.9999999999999996E-2</v>
      </c>
      <c r="I16" s="30">
        <f t="shared" si="5"/>
        <v>1795.8333333333333</v>
      </c>
      <c r="J16" s="46">
        <f t="shared" si="5"/>
        <v>0.5784083333333333</v>
      </c>
      <c r="K16" s="31">
        <f t="shared" si="5"/>
        <v>4.3841666666666661E-2</v>
      </c>
      <c r="L16" s="31">
        <f t="shared" si="5"/>
        <v>0.62225000000000008</v>
      </c>
      <c r="M16" s="16">
        <f t="shared" si="5"/>
        <v>515.08333333333337</v>
      </c>
      <c r="N16" s="30">
        <f t="shared" si="5"/>
        <v>1.2769166666666669</v>
      </c>
      <c r="O16" s="38">
        <f t="shared" si="5"/>
        <v>3.0666666666666673E-4</v>
      </c>
      <c r="P16" s="31">
        <f t="shared" si="5"/>
        <v>1.7766666666666667E-2</v>
      </c>
    </row>
    <row r="17" spans="1:16">
      <c r="A17" s="14"/>
      <c r="B17" s="15" t="s">
        <v>103</v>
      </c>
      <c r="C17" s="85" t="s">
        <v>96</v>
      </c>
      <c r="D17" s="16">
        <f t="shared" ref="D17:P17" si="6">_xlfn.STDEV.P(D2:D13)</f>
        <v>191.93459534145711</v>
      </c>
      <c r="E17" s="16">
        <f t="shared" si="6"/>
        <v>807.67189148658667</v>
      </c>
      <c r="F17" s="30">
        <f t="shared" si="6"/>
        <v>0.16652493974043511</v>
      </c>
      <c r="G17" s="31">
        <f t="shared" si="6"/>
        <v>0.96379566472013989</v>
      </c>
      <c r="H17" s="31">
        <f t="shared" si="6"/>
        <v>6.9388939039072284E-18</v>
      </c>
      <c r="I17" s="30">
        <f t="shared" si="6"/>
        <v>107.73875295773982</v>
      </c>
      <c r="J17" s="46">
        <f t="shared" si="6"/>
        <v>0.15042744905952354</v>
      </c>
      <c r="K17" s="31">
        <f t="shared" si="6"/>
        <v>1.2196683861698783E-2</v>
      </c>
      <c r="L17" s="31">
        <f t="shared" si="6"/>
        <v>0.16033357155214434</v>
      </c>
      <c r="M17" s="16">
        <f t="shared" si="6"/>
        <v>86.559669528533263</v>
      </c>
      <c r="N17" s="30">
        <f t="shared" si="6"/>
        <v>0.53626415417735596</v>
      </c>
      <c r="O17" s="38">
        <f t="shared" si="6"/>
        <v>1.765093639316497E-4</v>
      </c>
      <c r="P17" s="31">
        <f t="shared" si="6"/>
        <v>8.1840631039165924E-3</v>
      </c>
    </row>
    <row r="18" spans="1:16" ht="12.75" customHeight="1">
      <c r="A18" s="17"/>
      <c r="B18" s="131" t="s">
        <v>112</v>
      </c>
      <c r="C18" s="130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</row>
    <row r="19" spans="1:16" ht="12.75" customHeight="1">
      <c r="A19" s="17"/>
      <c r="B19" s="130" t="s">
        <v>117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</row>
    <row r="20" spans="1:16" ht="12.75" customHeight="1">
      <c r="A20" s="17"/>
      <c r="B20" s="130" t="s">
        <v>114</v>
      </c>
      <c r="C20" s="130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</row>
    <row r="21" spans="1:16" ht="12.75" customHeight="1">
      <c r="A21" s="17"/>
      <c r="B21" s="130" t="s">
        <v>108</v>
      </c>
      <c r="C21" s="130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</row>
    <row r="22" spans="1:16" ht="12.75" customHeight="1">
      <c r="A22" s="18"/>
      <c r="B22" s="130" t="s">
        <v>115</v>
      </c>
      <c r="C22" s="130"/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</row>
    <row r="23" spans="1:16" ht="12.75" customHeight="1">
      <c r="A23" s="18"/>
      <c r="B23" s="130" t="s">
        <v>109</v>
      </c>
      <c r="C23" s="130"/>
      <c r="D23" s="130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</row>
    <row r="24" spans="1:16" ht="12.75" customHeight="1"/>
  </sheetData>
  <mergeCells count="6">
    <mergeCell ref="B23:P23"/>
    <mergeCell ref="B18:P18"/>
    <mergeCell ref="B19:P19"/>
    <mergeCell ref="B20:P20"/>
    <mergeCell ref="B21:P21"/>
    <mergeCell ref="B22:P22"/>
  </mergeCells>
  <printOptions horizontalCentered="1"/>
  <pageMargins left="0.25" right="0.25" top="1.0833333333333299" bottom="0.75" header="0.3" footer="0.3"/>
  <pageSetup orientation="landscape" r:id="rId1"/>
  <headerFooter alignWithMargins="0">
    <oddHeader>&amp;LBarrick Gold Inc. - Nickel Plate Mine&amp;C&amp;"-,Regular"&amp;18
Table 42 - W8_WELL Data&amp;RAnnual Report, 2017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24"/>
  <sheetViews>
    <sheetView zoomScaleNormal="100" workbookViewId="0">
      <pane xSplit="2" ySplit="1" topLeftCell="C2" activePane="bottomRight" state="frozen"/>
      <selection activeCell="B33" sqref="B33"/>
      <selection pane="topRight" activeCell="B33" sqref="B33"/>
      <selection pane="bottomLeft" activeCell="B33" sqref="B33"/>
      <selection pane="bottomRight" activeCell="B33" sqref="B33"/>
    </sheetView>
  </sheetViews>
  <sheetFormatPr defaultColWidth="9.1328125" defaultRowHeight="15.75"/>
  <cols>
    <col min="1" max="1" width="9.3984375" style="19" bestFit="1" customWidth="1"/>
    <col min="2" max="2" width="10.265625" style="23" bestFit="1" customWidth="1"/>
    <col min="3" max="3" width="6.86328125" style="19" bestFit="1" customWidth="1"/>
    <col min="4" max="5" width="5.1328125" style="19" bestFit="1" customWidth="1"/>
    <col min="6" max="6" width="5.73046875" style="19" bestFit="1" customWidth="1"/>
    <col min="7" max="7" width="4.73046875" style="19" bestFit="1" customWidth="1"/>
    <col min="8" max="8" width="5.1328125" style="19" bestFit="1" customWidth="1"/>
    <col min="9" max="9" width="5.73046875" style="19" bestFit="1" customWidth="1"/>
    <col min="10" max="10" width="8.1328125" style="19" bestFit="1" customWidth="1"/>
    <col min="11" max="11" width="8" style="19" bestFit="1" customWidth="1"/>
    <col min="12" max="12" width="8.1328125" style="19" bestFit="1" customWidth="1"/>
    <col min="13" max="14" width="8" style="19" bestFit="1" customWidth="1"/>
    <col min="15" max="16" width="8.1328125" style="19" bestFit="1" customWidth="1"/>
    <col min="17" max="17" width="5.86328125" style="19" bestFit="1" customWidth="1"/>
    <col min="18" max="18" width="9.1328125" style="19" bestFit="1" customWidth="1"/>
    <col min="19" max="19" width="8" style="19" bestFit="1" customWidth="1"/>
    <col min="20" max="20" width="10.3984375" style="19" bestFit="1" customWidth="1"/>
    <col min="21" max="21" width="9.1328125" style="19" bestFit="1" customWidth="1"/>
    <col min="22" max="22" width="10.3984375" style="19" bestFit="1" customWidth="1"/>
    <col min="23" max="23" width="11.59765625" style="19" bestFit="1" customWidth="1"/>
    <col min="24" max="25" width="10.265625" style="19" bestFit="1" customWidth="1"/>
    <col min="26" max="26" width="11.59765625" style="19" bestFit="1" customWidth="1"/>
    <col min="27" max="27" width="9.265625" style="19" bestFit="1" customWidth="1"/>
    <col min="28" max="28" width="9.1328125" style="19" bestFit="1" customWidth="1"/>
    <col min="29" max="29" width="11.3984375" style="19" bestFit="1" customWidth="1"/>
    <col min="30" max="30" width="9.1328125" style="19" bestFit="1" customWidth="1"/>
    <col min="31" max="31" width="8" style="19" bestFit="1" customWidth="1"/>
    <col min="32" max="32" width="9.265625" style="19" bestFit="1" customWidth="1"/>
    <col min="33" max="16384" width="9.1328125" style="19"/>
  </cols>
  <sheetData>
    <row r="1" spans="1:32" ht="126" customHeight="1">
      <c r="A1" s="1" t="s">
        <v>45</v>
      </c>
      <c r="B1" s="2" t="s">
        <v>46</v>
      </c>
      <c r="C1" s="5" t="s">
        <v>50</v>
      </c>
      <c r="D1" s="5" t="s">
        <v>51</v>
      </c>
      <c r="E1" s="13" t="s">
        <v>0</v>
      </c>
      <c r="F1" s="4" t="s">
        <v>52</v>
      </c>
      <c r="G1" s="13" t="s">
        <v>53</v>
      </c>
      <c r="H1" s="13" t="s">
        <v>54</v>
      </c>
      <c r="I1" s="5" t="s">
        <v>55</v>
      </c>
      <c r="J1" s="12" t="s">
        <v>56</v>
      </c>
      <c r="K1" s="7" t="s">
        <v>57</v>
      </c>
      <c r="L1" s="7" t="s">
        <v>58</v>
      </c>
      <c r="M1" s="5" t="s">
        <v>59</v>
      </c>
      <c r="N1" s="7" t="s">
        <v>105</v>
      </c>
      <c r="O1" s="7" t="s">
        <v>60</v>
      </c>
      <c r="P1" s="7" t="s">
        <v>61</v>
      </c>
      <c r="Q1" s="4" t="s">
        <v>62</v>
      </c>
      <c r="R1" s="7" t="s">
        <v>64</v>
      </c>
      <c r="S1" s="8" t="s">
        <v>65</v>
      </c>
      <c r="T1" s="8" t="s">
        <v>67</v>
      </c>
      <c r="U1" s="10" t="s">
        <v>70</v>
      </c>
      <c r="V1" s="8" t="s">
        <v>72</v>
      </c>
      <c r="W1" s="11" t="s">
        <v>74</v>
      </c>
      <c r="X1" s="8" t="s">
        <v>75</v>
      </c>
      <c r="Y1" s="10" t="s">
        <v>77</v>
      </c>
      <c r="Z1" s="8" t="s">
        <v>78</v>
      </c>
      <c r="AA1" s="10" t="s">
        <v>80</v>
      </c>
      <c r="AB1" s="10" t="s">
        <v>82</v>
      </c>
      <c r="AC1" s="9" t="s">
        <v>85</v>
      </c>
      <c r="AD1" s="10" t="s">
        <v>86</v>
      </c>
      <c r="AE1" s="7" t="s">
        <v>87</v>
      </c>
      <c r="AF1" s="10" t="s">
        <v>95</v>
      </c>
    </row>
    <row r="2" spans="1:32">
      <c r="A2" s="20" t="s">
        <v>17</v>
      </c>
      <c r="B2" s="21">
        <v>42740.5</v>
      </c>
      <c r="C2" s="83">
        <v>-0.5</v>
      </c>
      <c r="D2" s="22">
        <v>495</v>
      </c>
      <c r="E2" s="22">
        <v>241</v>
      </c>
      <c r="F2" s="22">
        <v>7.88</v>
      </c>
      <c r="G2" s="25" t="s">
        <v>96</v>
      </c>
      <c r="H2" s="22">
        <v>376</v>
      </c>
      <c r="I2" s="22">
        <v>0.23</v>
      </c>
      <c r="J2" s="24">
        <f t="shared" ref="J2:J12" si="0">0.5* 0.005</f>
        <v>2.5000000000000001E-3</v>
      </c>
      <c r="K2" s="22">
        <v>1.05</v>
      </c>
      <c r="L2" s="24">
        <f t="shared" ref="L2:L12" si="1">0.5* 0.001</f>
        <v>5.0000000000000001E-4</v>
      </c>
      <c r="M2" s="22">
        <v>166</v>
      </c>
      <c r="N2" s="28">
        <f>P2-O2</f>
        <v>0</v>
      </c>
      <c r="O2" s="24">
        <f t="shared" ref="O2:P9" si="2">0.5* 0.005</f>
        <v>2.5000000000000001E-3</v>
      </c>
      <c r="P2" s="24">
        <f t="shared" si="2"/>
        <v>2.5000000000000001E-3</v>
      </c>
      <c r="Q2" s="24">
        <f>0.5* 0.5</f>
        <v>0.25</v>
      </c>
      <c r="R2" s="25" t="s">
        <v>96</v>
      </c>
      <c r="S2" s="25" t="s">
        <v>96</v>
      </c>
      <c r="T2" s="50" t="s">
        <v>96</v>
      </c>
      <c r="U2" s="25" t="s">
        <v>96</v>
      </c>
      <c r="V2" s="25" t="s">
        <v>96</v>
      </c>
      <c r="W2" s="25" t="s">
        <v>96</v>
      </c>
      <c r="X2" s="25" t="s">
        <v>96</v>
      </c>
      <c r="Y2" s="25" t="s">
        <v>96</v>
      </c>
      <c r="Z2" s="25" t="s">
        <v>96</v>
      </c>
      <c r="AA2" s="25" t="s">
        <v>96</v>
      </c>
      <c r="AB2" s="22">
        <v>1.4500000000000001E-2</v>
      </c>
      <c r="AC2" s="22">
        <v>5.3899999999999998E-3</v>
      </c>
      <c r="AD2" s="22">
        <v>6.9999999999999999E-4</v>
      </c>
      <c r="AE2" s="22">
        <v>3.3999999999999998E-3</v>
      </c>
      <c r="AF2" s="24">
        <f>0.5* 0.0005</f>
        <v>2.5000000000000001E-4</v>
      </c>
    </row>
    <row r="3" spans="1:32">
      <c r="A3" s="20" t="s">
        <v>17</v>
      </c>
      <c r="B3" s="21">
        <v>42774.5</v>
      </c>
      <c r="C3" s="90">
        <v>-0.7</v>
      </c>
      <c r="D3" s="22">
        <v>480</v>
      </c>
      <c r="E3" s="22">
        <v>233</v>
      </c>
      <c r="F3" s="22">
        <v>7.98</v>
      </c>
      <c r="G3" s="24">
        <f>0.5* 3</f>
        <v>1.5</v>
      </c>
      <c r="H3" s="22">
        <v>348</v>
      </c>
      <c r="I3" s="22">
        <v>0.26</v>
      </c>
      <c r="J3" s="24">
        <f t="shared" si="0"/>
        <v>2.5000000000000001E-3</v>
      </c>
      <c r="K3" s="22">
        <v>0.95599999999999996</v>
      </c>
      <c r="L3" s="24">
        <f t="shared" si="1"/>
        <v>5.0000000000000001E-4</v>
      </c>
      <c r="M3" s="22">
        <v>158</v>
      </c>
      <c r="N3" s="28">
        <f t="shared" ref="N3:N14" si="3">P3-O3</f>
        <v>0</v>
      </c>
      <c r="O3" s="24">
        <f t="shared" si="2"/>
        <v>2.5000000000000001E-3</v>
      </c>
      <c r="P3" s="24">
        <f t="shared" si="2"/>
        <v>2.5000000000000001E-3</v>
      </c>
      <c r="Q3" s="24">
        <f>0.5* 0.5</f>
        <v>0.25</v>
      </c>
      <c r="R3" s="22">
        <v>9.0500000000000008E-3</v>
      </c>
      <c r="S3" s="22">
        <v>1.34E-2</v>
      </c>
      <c r="T3" s="51">
        <v>1.03E-5</v>
      </c>
      <c r="U3" s="22">
        <v>6.4000000000000005E-4</v>
      </c>
      <c r="V3" s="24">
        <f>0.5* 0.00001</f>
        <v>5.0000000000000004E-6</v>
      </c>
      <c r="W3" s="24">
        <f>0.5* 0.000005</f>
        <v>2.5000000000000002E-6</v>
      </c>
      <c r="X3" s="22">
        <v>2.3500000000000001E-3</v>
      </c>
      <c r="Y3" s="22">
        <v>3.79E-3</v>
      </c>
      <c r="Z3" s="24">
        <f>0.5* 0.000005</f>
        <v>2.5000000000000002E-6</v>
      </c>
      <c r="AA3" s="24">
        <f>0.5* 0.0005</f>
        <v>2.5000000000000001E-4</v>
      </c>
      <c r="AB3" s="22">
        <v>1.34E-2</v>
      </c>
      <c r="AC3" s="22">
        <v>3.0799999999999998E-3</v>
      </c>
      <c r="AD3" s="22">
        <v>6.6E-4</v>
      </c>
      <c r="AE3" s="22">
        <v>3.3E-3</v>
      </c>
      <c r="AF3" s="24">
        <f>0.5* 0.0005</f>
        <v>2.5000000000000001E-4</v>
      </c>
    </row>
    <row r="4" spans="1:32">
      <c r="A4" s="20" t="s">
        <v>17</v>
      </c>
      <c r="B4" s="21">
        <v>42801.5</v>
      </c>
      <c r="C4" s="90">
        <v>-0.2</v>
      </c>
      <c r="D4" s="22">
        <v>515</v>
      </c>
      <c r="E4" s="22">
        <v>267</v>
      </c>
      <c r="F4" s="22">
        <v>7.98</v>
      </c>
      <c r="G4" s="25" t="s">
        <v>96</v>
      </c>
      <c r="H4" s="22">
        <v>378</v>
      </c>
      <c r="I4" s="22">
        <v>0.14000000000000001</v>
      </c>
      <c r="J4" s="24">
        <f t="shared" si="0"/>
        <v>2.5000000000000001E-3</v>
      </c>
      <c r="K4" s="22">
        <v>1.1100000000000001</v>
      </c>
      <c r="L4" s="24">
        <f t="shared" si="1"/>
        <v>5.0000000000000001E-4</v>
      </c>
      <c r="M4" s="22">
        <v>179</v>
      </c>
      <c r="N4" s="28">
        <f t="shared" si="3"/>
        <v>0</v>
      </c>
      <c r="O4" s="24">
        <f t="shared" si="2"/>
        <v>2.5000000000000001E-3</v>
      </c>
      <c r="P4" s="24">
        <f t="shared" si="2"/>
        <v>2.5000000000000001E-3</v>
      </c>
      <c r="Q4" s="24">
        <f>0.5* 0.5</f>
        <v>0.25</v>
      </c>
      <c r="R4" s="25" t="s">
        <v>96</v>
      </c>
      <c r="S4" s="25" t="s">
        <v>96</v>
      </c>
      <c r="T4" s="50" t="s">
        <v>96</v>
      </c>
      <c r="U4" s="25" t="s">
        <v>96</v>
      </c>
      <c r="V4" s="25" t="s">
        <v>96</v>
      </c>
      <c r="W4" s="25" t="s">
        <v>96</v>
      </c>
      <c r="X4" s="25" t="s">
        <v>96</v>
      </c>
      <c r="Y4" s="25" t="s">
        <v>96</v>
      </c>
      <c r="Z4" s="25" t="s">
        <v>96</v>
      </c>
      <c r="AA4" s="25" t="s">
        <v>96</v>
      </c>
      <c r="AB4" s="22">
        <v>1.32E-2</v>
      </c>
      <c r="AC4" s="22">
        <v>8.1099999999999992E-3</v>
      </c>
      <c r="AD4" s="22">
        <v>6.3000000000000003E-4</v>
      </c>
      <c r="AE4" s="24">
        <f>0.5* 0.03</f>
        <v>1.4999999999999999E-2</v>
      </c>
      <c r="AF4" s="24">
        <f t="shared" ref="AF4:AF9" si="4">0.5* 0.001</f>
        <v>5.0000000000000001E-4</v>
      </c>
    </row>
    <row r="5" spans="1:32">
      <c r="A5" s="20" t="s">
        <v>17</v>
      </c>
      <c r="B5" s="21">
        <v>42830.5</v>
      </c>
      <c r="C5" s="22">
        <v>0.2</v>
      </c>
      <c r="D5" s="22">
        <v>440</v>
      </c>
      <c r="E5" s="22">
        <v>214</v>
      </c>
      <c r="F5" s="22">
        <v>8.06</v>
      </c>
      <c r="G5" s="24">
        <f>0.5* 3</f>
        <v>1.5</v>
      </c>
      <c r="H5" s="22">
        <v>313</v>
      </c>
      <c r="I5" s="22">
        <v>0.2</v>
      </c>
      <c r="J5" s="24">
        <f t="shared" si="0"/>
        <v>2.5000000000000001E-3</v>
      </c>
      <c r="K5" s="22">
        <v>0.88200000000000001</v>
      </c>
      <c r="L5" s="24">
        <f t="shared" si="1"/>
        <v>5.0000000000000001E-4</v>
      </c>
      <c r="M5" s="22">
        <v>141</v>
      </c>
      <c r="N5" s="28">
        <f t="shared" si="3"/>
        <v>0</v>
      </c>
      <c r="O5" s="24">
        <f t="shared" si="2"/>
        <v>2.5000000000000001E-3</v>
      </c>
      <c r="P5" s="24">
        <f t="shared" si="2"/>
        <v>2.5000000000000001E-3</v>
      </c>
      <c r="Q5" s="24">
        <f>0.5* 0.5</f>
        <v>0.25</v>
      </c>
      <c r="R5" s="22">
        <v>1.26E-2</v>
      </c>
      <c r="S5" s="22">
        <v>1.26E-2</v>
      </c>
      <c r="T5" s="51">
        <v>1.2500000000000001E-5</v>
      </c>
      <c r="U5" s="22">
        <v>1.3600000000000001E-3</v>
      </c>
      <c r="V5" s="24">
        <f>0.5* 0.00005</f>
        <v>2.5000000000000001E-5</v>
      </c>
      <c r="W5" s="24">
        <f>0.5* 0.000005</f>
        <v>2.5000000000000002E-6</v>
      </c>
      <c r="X5" s="22">
        <v>2.3900000000000002E-3</v>
      </c>
      <c r="Y5" s="22">
        <v>3.5500000000000002E-3</v>
      </c>
      <c r="Z5" s="24">
        <f>0.5* 0.00001</f>
        <v>5.0000000000000004E-6</v>
      </c>
      <c r="AA5" s="24">
        <f>0.5* 0.003</f>
        <v>1.5E-3</v>
      </c>
      <c r="AB5" s="22">
        <v>1.3100000000000001E-2</v>
      </c>
      <c r="AC5" s="22">
        <v>4.2399999999999998E-3</v>
      </c>
      <c r="AD5" s="22">
        <v>9.1E-4</v>
      </c>
      <c r="AE5" s="24">
        <f>0.5* 0.01</f>
        <v>5.0000000000000001E-3</v>
      </c>
      <c r="AF5" s="24">
        <f t="shared" si="4"/>
        <v>5.0000000000000001E-4</v>
      </c>
    </row>
    <row r="6" spans="1:32">
      <c r="A6" s="20" t="s">
        <v>17</v>
      </c>
      <c r="B6" s="21">
        <v>42858</v>
      </c>
      <c r="C6" s="22">
        <v>0.8</v>
      </c>
      <c r="D6" s="22">
        <v>266</v>
      </c>
      <c r="E6" s="22">
        <v>121</v>
      </c>
      <c r="F6" s="22">
        <v>7.97</v>
      </c>
      <c r="G6" s="25" t="s">
        <v>96</v>
      </c>
      <c r="H6" s="22">
        <v>236</v>
      </c>
      <c r="I6" s="22">
        <v>1.52</v>
      </c>
      <c r="J6" s="24">
        <f t="shared" si="0"/>
        <v>2.5000000000000001E-3</v>
      </c>
      <c r="K6" s="22">
        <v>0.36499999999999999</v>
      </c>
      <c r="L6" s="24">
        <f t="shared" si="1"/>
        <v>5.0000000000000001E-4</v>
      </c>
      <c r="M6" s="22">
        <v>56.7</v>
      </c>
      <c r="N6" s="28">
        <f t="shared" si="3"/>
        <v>0</v>
      </c>
      <c r="O6" s="24">
        <f t="shared" si="2"/>
        <v>2.5000000000000001E-3</v>
      </c>
      <c r="P6" s="24">
        <f t="shared" si="2"/>
        <v>2.5000000000000001E-3</v>
      </c>
      <c r="Q6" s="24">
        <f>0.5* 0.5</f>
        <v>0.25</v>
      </c>
      <c r="R6" s="25" t="s">
        <v>96</v>
      </c>
      <c r="S6" s="25" t="s">
        <v>96</v>
      </c>
      <c r="T6" s="50" t="s">
        <v>96</v>
      </c>
      <c r="U6" s="25" t="s">
        <v>96</v>
      </c>
      <c r="V6" s="25" t="s">
        <v>96</v>
      </c>
      <c r="W6" s="25" t="s">
        <v>96</v>
      </c>
      <c r="X6" s="25" t="s">
        <v>96</v>
      </c>
      <c r="Y6" s="25" t="s">
        <v>96</v>
      </c>
      <c r="Z6" s="25" t="s">
        <v>96</v>
      </c>
      <c r="AA6" s="25" t="s">
        <v>96</v>
      </c>
      <c r="AB6" s="22">
        <v>1.0699999999999999E-2</v>
      </c>
      <c r="AC6" s="22">
        <v>2.0300000000000001E-3</v>
      </c>
      <c r="AD6" s="22">
        <v>2.7499999999999998E-3</v>
      </c>
      <c r="AE6" s="22">
        <v>5.0999999999999997E-2</v>
      </c>
      <c r="AF6" s="24">
        <f t="shared" si="4"/>
        <v>5.0000000000000001E-4</v>
      </c>
    </row>
    <row r="7" spans="1:32">
      <c r="A7" s="20" t="s">
        <v>17</v>
      </c>
      <c r="B7" s="21">
        <v>42893.5</v>
      </c>
      <c r="C7" s="90">
        <v>8</v>
      </c>
      <c r="D7" s="22">
        <v>323</v>
      </c>
      <c r="E7" s="22">
        <v>154</v>
      </c>
      <c r="F7" s="22">
        <v>7.92</v>
      </c>
      <c r="G7" s="25" t="s">
        <v>96</v>
      </c>
      <c r="H7" s="22">
        <v>232</v>
      </c>
      <c r="I7" s="22">
        <v>0.81</v>
      </c>
      <c r="J7" s="24">
        <f t="shared" si="0"/>
        <v>2.5000000000000001E-3</v>
      </c>
      <c r="K7" s="22">
        <v>0.627</v>
      </c>
      <c r="L7" s="24">
        <f t="shared" si="1"/>
        <v>5.0000000000000001E-4</v>
      </c>
      <c r="M7" s="22">
        <v>99.6</v>
      </c>
      <c r="N7" s="28">
        <f t="shared" si="3"/>
        <v>0</v>
      </c>
      <c r="O7" s="24">
        <f t="shared" si="2"/>
        <v>2.5000000000000001E-3</v>
      </c>
      <c r="P7" s="24">
        <f t="shared" si="2"/>
        <v>2.5000000000000001E-3</v>
      </c>
      <c r="Q7" s="22">
        <v>0.54</v>
      </c>
      <c r="R7" s="25" t="s">
        <v>96</v>
      </c>
      <c r="S7" s="25" t="s">
        <v>96</v>
      </c>
      <c r="T7" s="50" t="s">
        <v>96</v>
      </c>
      <c r="U7" s="25" t="s">
        <v>96</v>
      </c>
      <c r="V7" s="25" t="s">
        <v>96</v>
      </c>
      <c r="W7" s="25" t="s">
        <v>96</v>
      </c>
      <c r="X7" s="25" t="s">
        <v>96</v>
      </c>
      <c r="Y7" s="25" t="s">
        <v>96</v>
      </c>
      <c r="Z7" s="25" t="s">
        <v>96</v>
      </c>
      <c r="AA7" s="25" t="s">
        <v>96</v>
      </c>
      <c r="AB7" s="22">
        <v>1.37E-2</v>
      </c>
      <c r="AC7" s="22">
        <v>6.0999999999999997E-4</v>
      </c>
      <c r="AD7" s="22">
        <v>1.5499999999999999E-3</v>
      </c>
      <c r="AE7" s="22">
        <v>0.02</v>
      </c>
      <c r="AF7" s="24">
        <f t="shared" si="4"/>
        <v>5.0000000000000001E-4</v>
      </c>
    </row>
    <row r="8" spans="1:32">
      <c r="A8" s="20" t="s">
        <v>17</v>
      </c>
      <c r="B8" s="21">
        <v>42921.5</v>
      </c>
      <c r="C8" s="22">
        <v>8.3000000000000007</v>
      </c>
      <c r="D8" s="22">
        <v>467</v>
      </c>
      <c r="E8" s="22">
        <v>222</v>
      </c>
      <c r="F8" s="22">
        <v>8</v>
      </c>
      <c r="G8" s="24">
        <f>0.5* 3</f>
        <v>1.5</v>
      </c>
      <c r="H8" s="22">
        <v>331</v>
      </c>
      <c r="I8" s="22">
        <v>0.44</v>
      </c>
      <c r="J8" s="24">
        <f t="shared" si="0"/>
        <v>2.5000000000000001E-3</v>
      </c>
      <c r="K8" s="22">
        <v>0.84299999999999997</v>
      </c>
      <c r="L8" s="24">
        <f t="shared" si="1"/>
        <v>5.0000000000000001E-4</v>
      </c>
      <c r="M8" s="22">
        <v>149</v>
      </c>
      <c r="N8" s="28">
        <f t="shared" si="3"/>
        <v>0</v>
      </c>
      <c r="O8" s="24">
        <f t="shared" si="2"/>
        <v>2.5000000000000001E-3</v>
      </c>
      <c r="P8" s="24">
        <f t="shared" si="2"/>
        <v>2.5000000000000001E-3</v>
      </c>
      <c r="Q8" s="24">
        <f t="shared" ref="Q8:Q14" si="5">0.5* 0.5</f>
        <v>0.25</v>
      </c>
      <c r="R8" s="22">
        <v>3.09E-2</v>
      </c>
      <c r="S8" s="22">
        <v>1.5699999999999999E-2</v>
      </c>
      <c r="T8" s="52">
        <f>0.5* 0.000015</f>
        <v>7.5000000000000002E-6</v>
      </c>
      <c r="U8" s="22">
        <v>1.2199999999999999E-3</v>
      </c>
      <c r="V8" s="24">
        <f>0.5* 0.00005</f>
        <v>2.5000000000000001E-5</v>
      </c>
      <c r="W8" s="24">
        <f>0.5* 0.000005</f>
        <v>2.5000000000000002E-6</v>
      </c>
      <c r="X8" s="22">
        <v>4.5500000000000002E-3</v>
      </c>
      <c r="Y8" s="22">
        <v>4.3299999999999996E-3</v>
      </c>
      <c r="Z8" s="24">
        <f>0.5* 0.00001</f>
        <v>5.0000000000000004E-6</v>
      </c>
      <c r="AA8" s="24">
        <f>0.5* 0.003</f>
        <v>1.5E-3</v>
      </c>
      <c r="AB8" s="22">
        <v>1.4999999999999999E-2</v>
      </c>
      <c r="AC8" s="22">
        <v>1.01E-3</v>
      </c>
      <c r="AD8" s="22">
        <v>1.09E-3</v>
      </c>
      <c r="AE8" s="24">
        <f t="shared" ref="AE8:AE14" si="6">0.5* 0.01</f>
        <v>5.0000000000000001E-3</v>
      </c>
      <c r="AF8" s="24">
        <f t="shared" si="4"/>
        <v>5.0000000000000001E-4</v>
      </c>
    </row>
    <row r="9" spans="1:32">
      <c r="A9" s="20" t="s">
        <v>17</v>
      </c>
      <c r="B9" s="21">
        <v>42949</v>
      </c>
      <c r="C9" s="22">
        <v>9.4</v>
      </c>
      <c r="D9" s="22">
        <v>625</v>
      </c>
      <c r="E9" s="22">
        <v>322</v>
      </c>
      <c r="F9" s="22">
        <v>8.08</v>
      </c>
      <c r="G9" s="25" t="s">
        <v>96</v>
      </c>
      <c r="H9" s="22">
        <v>463</v>
      </c>
      <c r="I9" s="22">
        <v>0.23</v>
      </c>
      <c r="J9" s="24">
        <f t="shared" si="0"/>
        <v>2.5000000000000001E-3</v>
      </c>
      <c r="K9" s="22">
        <v>1.1599999999999999</v>
      </c>
      <c r="L9" s="24">
        <f t="shared" si="1"/>
        <v>5.0000000000000001E-4</v>
      </c>
      <c r="M9" s="22">
        <v>226</v>
      </c>
      <c r="N9" s="28">
        <f t="shared" si="3"/>
        <v>0</v>
      </c>
      <c r="O9" s="24">
        <f t="shared" si="2"/>
        <v>2.5000000000000001E-3</v>
      </c>
      <c r="P9" s="24">
        <f t="shared" si="2"/>
        <v>2.5000000000000001E-3</v>
      </c>
      <c r="Q9" s="24">
        <f t="shared" si="5"/>
        <v>0.25</v>
      </c>
      <c r="R9" s="25" t="s">
        <v>96</v>
      </c>
      <c r="S9" s="25" t="s">
        <v>96</v>
      </c>
      <c r="T9" s="50" t="s">
        <v>96</v>
      </c>
      <c r="U9" s="25" t="s">
        <v>96</v>
      </c>
      <c r="V9" s="25" t="s">
        <v>96</v>
      </c>
      <c r="W9" s="25" t="s">
        <v>96</v>
      </c>
      <c r="X9" s="25" t="s">
        <v>96</v>
      </c>
      <c r="Y9" s="25" t="s">
        <v>96</v>
      </c>
      <c r="Z9" s="25" t="s">
        <v>96</v>
      </c>
      <c r="AA9" s="25" t="s">
        <v>96</v>
      </c>
      <c r="AB9" s="22">
        <v>1.7100000000000001E-2</v>
      </c>
      <c r="AC9" s="22">
        <v>4.0699999999999998E-3</v>
      </c>
      <c r="AD9" s="22">
        <v>8.3000000000000001E-4</v>
      </c>
      <c r="AE9" s="24">
        <f t="shared" si="6"/>
        <v>5.0000000000000001E-3</v>
      </c>
      <c r="AF9" s="24">
        <f t="shared" si="4"/>
        <v>5.0000000000000001E-4</v>
      </c>
    </row>
    <row r="10" spans="1:32">
      <c r="A10" s="20"/>
      <c r="B10" s="93">
        <v>42991</v>
      </c>
      <c r="C10" s="22">
        <v>7.5</v>
      </c>
      <c r="D10" s="25" t="s">
        <v>96</v>
      </c>
      <c r="E10" s="25" t="s">
        <v>96</v>
      </c>
      <c r="F10" s="25" t="s">
        <v>96</v>
      </c>
      <c r="G10" s="25" t="s">
        <v>96</v>
      </c>
      <c r="H10" s="25" t="s">
        <v>96</v>
      </c>
      <c r="I10" s="25" t="s">
        <v>96</v>
      </c>
      <c r="J10" s="25" t="s">
        <v>96</v>
      </c>
      <c r="K10" s="25" t="s">
        <v>96</v>
      </c>
      <c r="L10" s="25" t="s">
        <v>96</v>
      </c>
      <c r="M10" s="25" t="s">
        <v>96</v>
      </c>
      <c r="N10" s="25" t="s">
        <v>96</v>
      </c>
      <c r="O10" s="25" t="s">
        <v>96</v>
      </c>
      <c r="P10" s="25" t="s">
        <v>96</v>
      </c>
      <c r="Q10" s="25" t="s">
        <v>96</v>
      </c>
      <c r="R10" s="25" t="s">
        <v>96</v>
      </c>
      <c r="S10" s="25" t="s">
        <v>96</v>
      </c>
      <c r="T10" s="25" t="s">
        <v>96</v>
      </c>
      <c r="U10" s="25" t="s">
        <v>96</v>
      </c>
      <c r="V10" s="25" t="s">
        <v>96</v>
      </c>
      <c r="W10" s="25" t="s">
        <v>96</v>
      </c>
      <c r="X10" s="25" t="s">
        <v>96</v>
      </c>
      <c r="Y10" s="25" t="s">
        <v>96</v>
      </c>
      <c r="Z10" s="25" t="s">
        <v>96</v>
      </c>
      <c r="AA10" s="25" t="s">
        <v>96</v>
      </c>
      <c r="AB10" s="25" t="s">
        <v>96</v>
      </c>
      <c r="AC10" s="25" t="s">
        <v>96</v>
      </c>
      <c r="AD10" s="25" t="s">
        <v>96</v>
      </c>
      <c r="AE10" s="25" t="s">
        <v>96</v>
      </c>
      <c r="AF10" s="25" t="s">
        <v>96</v>
      </c>
    </row>
    <row r="11" spans="1:32">
      <c r="A11" s="20" t="s">
        <v>17</v>
      </c>
      <c r="B11" s="21">
        <v>43004.559027777781</v>
      </c>
      <c r="C11" s="25" t="s">
        <v>96</v>
      </c>
      <c r="D11" s="22">
        <v>621</v>
      </c>
      <c r="E11" s="22">
        <v>324</v>
      </c>
      <c r="F11" s="22">
        <v>8.09</v>
      </c>
      <c r="G11" s="24">
        <f>0.5* 3</f>
        <v>1.5</v>
      </c>
      <c r="H11" s="22">
        <v>489</v>
      </c>
      <c r="I11" s="22">
        <v>0.2</v>
      </c>
      <c r="J11" s="24">
        <f t="shared" si="0"/>
        <v>2.5000000000000001E-3</v>
      </c>
      <c r="K11" s="22">
        <v>1.1399999999999999</v>
      </c>
      <c r="L11" s="24">
        <f t="shared" si="1"/>
        <v>5.0000000000000001E-4</v>
      </c>
      <c r="M11" s="22">
        <v>245</v>
      </c>
      <c r="N11" s="28">
        <f t="shared" si="3"/>
        <v>0</v>
      </c>
      <c r="O11" s="24">
        <f>0.5* 0.005</f>
        <v>2.5000000000000001E-3</v>
      </c>
      <c r="P11" s="22">
        <v>2.5000000000000001E-3</v>
      </c>
      <c r="Q11" s="24">
        <f t="shared" si="5"/>
        <v>0.25</v>
      </c>
      <c r="R11" s="22">
        <v>3.0200000000000001E-2</v>
      </c>
      <c r="S11" s="22">
        <v>1.7500000000000002E-2</v>
      </c>
      <c r="T11" s="51">
        <v>2.1800000000000001E-5</v>
      </c>
      <c r="U11" s="22">
        <v>8.8999999999999995E-4</v>
      </c>
      <c r="V11" s="22">
        <v>4.5800000000000002E-4</v>
      </c>
      <c r="W11" s="24">
        <f>0.5* 0.000005</f>
        <v>2.5000000000000002E-6</v>
      </c>
      <c r="X11" s="22">
        <v>4.0000000000000001E-3</v>
      </c>
      <c r="Y11" s="22">
        <v>5.4200000000000003E-3</v>
      </c>
      <c r="Z11" s="22">
        <v>1.5E-5</v>
      </c>
      <c r="AA11" s="24">
        <f>0.5* 0.003</f>
        <v>1.5E-3</v>
      </c>
      <c r="AB11" s="22">
        <v>1.5299999999999999E-2</v>
      </c>
      <c r="AC11" s="22">
        <v>6.6299999999999996E-3</v>
      </c>
      <c r="AD11" s="22">
        <v>4.0200000000000001E-3</v>
      </c>
      <c r="AE11" s="24">
        <f t="shared" si="6"/>
        <v>5.0000000000000001E-3</v>
      </c>
      <c r="AF11" s="22">
        <v>2.0999999999999999E-3</v>
      </c>
    </row>
    <row r="12" spans="1:32">
      <c r="A12" s="20" t="s">
        <v>17</v>
      </c>
      <c r="B12" s="21">
        <v>43012</v>
      </c>
      <c r="C12" s="22">
        <v>1.7</v>
      </c>
      <c r="D12" s="22">
        <v>611</v>
      </c>
      <c r="E12" s="22">
        <v>321</v>
      </c>
      <c r="F12" s="22">
        <v>8.1</v>
      </c>
      <c r="G12" s="24">
        <f>0.5* 3</f>
        <v>1.5</v>
      </c>
      <c r="H12" s="22">
        <v>478</v>
      </c>
      <c r="I12" s="22">
        <v>0.22</v>
      </c>
      <c r="J12" s="24">
        <f t="shared" si="0"/>
        <v>2.5000000000000001E-3</v>
      </c>
      <c r="K12" s="22">
        <v>1.08</v>
      </c>
      <c r="L12" s="24">
        <f t="shared" si="1"/>
        <v>5.0000000000000001E-4</v>
      </c>
      <c r="M12" s="22">
        <v>226</v>
      </c>
      <c r="N12" s="28">
        <f t="shared" si="3"/>
        <v>0</v>
      </c>
      <c r="O12" s="24">
        <f>0.5* 0.005</f>
        <v>2.5000000000000001E-3</v>
      </c>
      <c r="P12" s="24">
        <f>0.5* 0.005</f>
        <v>2.5000000000000001E-3</v>
      </c>
      <c r="Q12" s="24">
        <f t="shared" si="5"/>
        <v>0.25</v>
      </c>
      <c r="R12" s="22">
        <v>8.0000000000000002E-3</v>
      </c>
      <c r="S12" s="22">
        <v>1.4999999999999999E-2</v>
      </c>
      <c r="T12" s="51">
        <v>1.5500000000000001E-5</v>
      </c>
      <c r="U12" s="22">
        <v>1.01E-3</v>
      </c>
      <c r="V12" s="24">
        <f>0.5* 0.00005</f>
        <v>2.5000000000000001E-5</v>
      </c>
      <c r="W12" s="24">
        <f>0.5* 0.000005</f>
        <v>2.5000000000000002E-6</v>
      </c>
      <c r="X12" s="22">
        <v>3.7699999999999999E-3</v>
      </c>
      <c r="Y12" s="22">
        <v>5.0800000000000003E-3</v>
      </c>
      <c r="Z12" s="24">
        <f>0.5* 0.00001</f>
        <v>5.0000000000000004E-6</v>
      </c>
      <c r="AA12" s="24">
        <f>0.5* 0.003</f>
        <v>1.5E-3</v>
      </c>
      <c r="AB12" s="22">
        <v>1.5299999999999999E-2</v>
      </c>
      <c r="AC12" s="22">
        <v>3.81E-3</v>
      </c>
      <c r="AD12" s="22">
        <v>6.8000000000000005E-4</v>
      </c>
      <c r="AE12" s="24">
        <f t="shared" si="6"/>
        <v>5.0000000000000001E-3</v>
      </c>
      <c r="AF12" s="24">
        <f>0.5* 0.001</f>
        <v>5.0000000000000001E-4</v>
      </c>
    </row>
    <row r="13" spans="1:32">
      <c r="A13" s="20" t="s">
        <v>17</v>
      </c>
      <c r="B13" s="21">
        <v>43047.5</v>
      </c>
      <c r="C13" s="90">
        <v>-0.5</v>
      </c>
      <c r="D13" s="22">
        <v>584</v>
      </c>
      <c r="E13" s="22">
        <v>322</v>
      </c>
      <c r="F13" s="22">
        <v>8.1</v>
      </c>
      <c r="G13" s="24">
        <f>0.5* 3</f>
        <v>1.5</v>
      </c>
      <c r="H13" s="22">
        <v>450</v>
      </c>
      <c r="I13" s="22">
        <v>0.22</v>
      </c>
      <c r="J13" s="22">
        <v>2.0799999999999999E-2</v>
      </c>
      <c r="K13" s="22">
        <v>1.07</v>
      </c>
      <c r="L13" s="22">
        <v>1.1000000000000001E-3</v>
      </c>
      <c r="M13" s="22">
        <v>223</v>
      </c>
      <c r="N13" s="28">
        <f t="shared" si="3"/>
        <v>0</v>
      </c>
      <c r="O13" s="24">
        <f>0.5* 0.005</f>
        <v>2.5000000000000001E-3</v>
      </c>
      <c r="P13" s="24">
        <f>0.5* 0.005</f>
        <v>2.5000000000000001E-3</v>
      </c>
      <c r="Q13" s="24">
        <f t="shared" si="5"/>
        <v>0.25</v>
      </c>
      <c r="R13" s="25" t="s">
        <v>96</v>
      </c>
      <c r="S13" s="25" t="s">
        <v>96</v>
      </c>
      <c r="T13" s="50" t="s">
        <v>96</v>
      </c>
      <c r="U13" s="25" t="s">
        <v>96</v>
      </c>
      <c r="V13" s="25" t="s">
        <v>96</v>
      </c>
      <c r="W13" s="25" t="s">
        <v>96</v>
      </c>
      <c r="X13" s="25" t="s">
        <v>96</v>
      </c>
      <c r="Y13" s="25" t="s">
        <v>96</v>
      </c>
      <c r="Z13" s="25" t="s">
        <v>96</v>
      </c>
      <c r="AA13" s="25" t="s">
        <v>96</v>
      </c>
      <c r="AB13" s="22">
        <v>1.29E-2</v>
      </c>
      <c r="AC13" s="22">
        <v>7.1700000000000002E-3</v>
      </c>
      <c r="AD13" s="22">
        <v>6.4000000000000005E-4</v>
      </c>
      <c r="AE13" s="24">
        <f t="shared" si="6"/>
        <v>5.0000000000000001E-3</v>
      </c>
      <c r="AF13" s="24">
        <f>0.5* 0.001</f>
        <v>5.0000000000000001E-4</v>
      </c>
    </row>
    <row r="14" spans="1:32">
      <c r="A14" s="20" t="s">
        <v>17</v>
      </c>
      <c r="B14" s="21">
        <v>43075.5</v>
      </c>
      <c r="C14" s="90">
        <v>-0.5</v>
      </c>
      <c r="D14" s="22">
        <v>528</v>
      </c>
      <c r="E14" s="22">
        <v>261</v>
      </c>
      <c r="F14" s="22">
        <v>7.97</v>
      </c>
      <c r="G14" s="24">
        <f>0.5* 3</f>
        <v>1.5</v>
      </c>
      <c r="H14" s="22">
        <v>395</v>
      </c>
      <c r="I14" s="22">
        <v>0.17</v>
      </c>
      <c r="J14" s="22">
        <v>9.1999999999999998E-3</v>
      </c>
      <c r="K14" s="22">
        <v>0.92800000000000005</v>
      </c>
      <c r="L14" s="22">
        <v>1.1000000000000001E-3</v>
      </c>
      <c r="M14" s="22">
        <v>189</v>
      </c>
      <c r="N14" s="28">
        <f t="shared" si="3"/>
        <v>0</v>
      </c>
      <c r="O14" s="24">
        <f>0.5* 0.005</f>
        <v>2.5000000000000001E-3</v>
      </c>
      <c r="P14" s="24">
        <f>0.5* 0.005</f>
        <v>2.5000000000000001E-3</v>
      </c>
      <c r="Q14" s="24">
        <f t="shared" si="5"/>
        <v>0.25</v>
      </c>
      <c r="R14" s="25" t="s">
        <v>96</v>
      </c>
      <c r="S14" s="25" t="s">
        <v>96</v>
      </c>
      <c r="T14" s="50" t="s">
        <v>96</v>
      </c>
      <c r="U14" s="25" t="s">
        <v>96</v>
      </c>
      <c r="V14" s="25" t="s">
        <v>96</v>
      </c>
      <c r="W14" s="25" t="s">
        <v>96</v>
      </c>
      <c r="X14" s="25" t="s">
        <v>96</v>
      </c>
      <c r="Y14" s="25" t="s">
        <v>96</v>
      </c>
      <c r="Z14" s="25" t="s">
        <v>96</v>
      </c>
      <c r="AA14" s="25" t="s">
        <v>96</v>
      </c>
      <c r="AB14" s="22">
        <v>1.29E-2</v>
      </c>
      <c r="AC14" s="22">
        <v>8.09E-3</v>
      </c>
      <c r="AD14" s="22">
        <v>7.1000000000000002E-4</v>
      </c>
      <c r="AE14" s="24">
        <f t="shared" si="6"/>
        <v>5.0000000000000001E-3</v>
      </c>
      <c r="AF14" s="22">
        <v>2.0999999999999999E-3</v>
      </c>
    </row>
    <row r="15" spans="1:32">
      <c r="A15" s="14"/>
      <c r="B15" s="15" t="s">
        <v>100</v>
      </c>
      <c r="C15" s="118">
        <f t="shared" ref="C15:AF15" si="7">MIN(C2:C14)</f>
        <v>-0.7</v>
      </c>
      <c r="D15" s="16">
        <f t="shared" si="7"/>
        <v>266</v>
      </c>
      <c r="E15" s="16">
        <f t="shared" si="7"/>
        <v>121</v>
      </c>
      <c r="F15" s="30">
        <f t="shared" si="7"/>
        <v>7.88</v>
      </c>
      <c r="G15" s="29">
        <f t="shared" si="7"/>
        <v>1.5</v>
      </c>
      <c r="H15" s="16">
        <f t="shared" si="7"/>
        <v>232</v>
      </c>
      <c r="I15" s="30">
        <f t="shared" si="7"/>
        <v>0.14000000000000001</v>
      </c>
      <c r="J15" s="31">
        <f t="shared" si="7"/>
        <v>2.5000000000000001E-3</v>
      </c>
      <c r="K15" s="31">
        <f t="shared" si="7"/>
        <v>0.36499999999999999</v>
      </c>
      <c r="L15" s="31">
        <f t="shared" si="7"/>
        <v>5.0000000000000001E-4</v>
      </c>
      <c r="M15" s="30">
        <f t="shared" si="7"/>
        <v>56.7</v>
      </c>
      <c r="N15" s="31">
        <f t="shared" si="7"/>
        <v>0</v>
      </c>
      <c r="O15" s="31">
        <f t="shared" si="7"/>
        <v>2.5000000000000001E-3</v>
      </c>
      <c r="P15" s="31">
        <f t="shared" si="7"/>
        <v>2.5000000000000001E-3</v>
      </c>
      <c r="Q15" s="30">
        <f t="shared" si="7"/>
        <v>0.25</v>
      </c>
      <c r="R15" s="38">
        <f t="shared" si="7"/>
        <v>8.0000000000000002E-3</v>
      </c>
      <c r="S15" s="31">
        <f t="shared" si="7"/>
        <v>1.26E-2</v>
      </c>
      <c r="T15" s="53">
        <f t="shared" si="7"/>
        <v>7.5000000000000002E-6</v>
      </c>
      <c r="U15" s="38">
        <f t="shared" si="7"/>
        <v>6.4000000000000005E-4</v>
      </c>
      <c r="V15" s="39">
        <f t="shared" si="7"/>
        <v>5.0000000000000004E-6</v>
      </c>
      <c r="W15" s="40">
        <f t="shared" si="7"/>
        <v>2.5000000000000002E-6</v>
      </c>
      <c r="X15" s="39">
        <f t="shared" si="7"/>
        <v>2.3500000000000001E-3</v>
      </c>
      <c r="Y15" s="39">
        <f t="shared" si="7"/>
        <v>3.5500000000000002E-3</v>
      </c>
      <c r="Z15" s="40">
        <f t="shared" si="7"/>
        <v>2.5000000000000002E-6</v>
      </c>
      <c r="AA15" s="38">
        <f t="shared" si="7"/>
        <v>2.5000000000000001E-4</v>
      </c>
      <c r="AB15" s="38">
        <f t="shared" si="7"/>
        <v>1.0699999999999999E-2</v>
      </c>
      <c r="AC15" s="40">
        <f t="shared" si="7"/>
        <v>6.0999999999999997E-4</v>
      </c>
      <c r="AD15" s="38">
        <f t="shared" si="7"/>
        <v>6.3000000000000003E-4</v>
      </c>
      <c r="AE15" s="31">
        <f t="shared" si="7"/>
        <v>3.3E-3</v>
      </c>
      <c r="AF15" s="38">
        <f t="shared" si="7"/>
        <v>2.5000000000000001E-4</v>
      </c>
    </row>
    <row r="16" spans="1:32">
      <c r="A16" s="14"/>
      <c r="B16" s="15" t="s">
        <v>101</v>
      </c>
      <c r="C16" s="29">
        <f t="shared" ref="C16:AF16" si="8">MAX(C2:C14)</f>
        <v>9.4</v>
      </c>
      <c r="D16" s="16">
        <f t="shared" si="8"/>
        <v>625</v>
      </c>
      <c r="E16" s="16">
        <f t="shared" si="8"/>
        <v>324</v>
      </c>
      <c r="F16" s="30">
        <f t="shared" si="8"/>
        <v>8.1</v>
      </c>
      <c r="G16" s="29">
        <f t="shared" si="8"/>
        <v>1.5</v>
      </c>
      <c r="H16" s="16">
        <f t="shared" si="8"/>
        <v>489</v>
      </c>
      <c r="I16" s="30">
        <f t="shared" si="8"/>
        <v>1.52</v>
      </c>
      <c r="J16" s="31">
        <f t="shared" si="8"/>
        <v>2.0799999999999999E-2</v>
      </c>
      <c r="K16" s="31">
        <f t="shared" si="8"/>
        <v>1.1599999999999999</v>
      </c>
      <c r="L16" s="31">
        <f t="shared" si="8"/>
        <v>1.1000000000000001E-3</v>
      </c>
      <c r="M16" s="30">
        <f t="shared" si="8"/>
        <v>245</v>
      </c>
      <c r="N16" s="31">
        <f t="shared" si="8"/>
        <v>0</v>
      </c>
      <c r="O16" s="31">
        <f t="shared" si="8"/>
        <v>2.5000000000000001E-3</v>
      </c>
      <c r="P16" s="31">
        <f t="shared" si="8"/>
        <v>2.5000000000000001E-3</v>
      </c>
      <c r="Q16" s="30">
        <f t="shared" si="8"/>
        <v>0.54</v>
      </c>
      <c r="R16" s="38">
        <f t="shared" si="8"/>
        <v>3.09E-2</v>
      </c>
      <c r="S16" s="31">
        <f t="shared" si="8"/>
        <v>1.7500000000000002E-2</v>
      </c>
      <c r="T16" s="53">
        <f t="shared" si="8"/>
        <v>2.1800000000000001E-5</v>
      </c>
      <c r="U16" s="38">
        <f t="shared" si="8"/>
        <v>1.3600000000000001E-3</v>
      </c>
      <c r="V16" s="39">
        <f t="shared" si="8"/>
        <v>4.5800000000000002E-4</v>
      </c>
      <c r="W16" s="40">
        <f t="shared" si="8"/>
        <v>2.5000000000000002E-6</v>
      </c>
      <c r="X16" s="39">
        <f t="shared" si="8"/>
        <v>4.5500000000000002E-3</v>
      </c>
      <c r="Y16" s="39">
        <f t="shared" si="8"/>
        <v>5.4200000000000003E-3</v>
      </c>
      <c r="Z16" s="40">
        <f t="shared" si="8"/>
        <v>1.5E-5</v>
      </c>
      <c r="AA16" s="38">
        <f t="shared" si="8"/>
        <v>1.5E-3</v>
      </c>
      <c r="AB16" s="38">
        <f t="shared" si="8"/>
        <v>1.7100000000000001E-2</v>
      </c>
      <c r="AC16" s="40">
        <f t="shared" si="8"/>
        <v>8.1099999999999992E-3</v>
      </c>
      <c r="AD16" s="38">
        <f t="shared" si="8"/>
        <v>4.0200000000000001E-3</v>
      </c>
      <c r="AE16" s="31">
        <f t="shared" si="8"/>
        <v>5.0999999999999997E-2</v>
      </c>
      <c r="AF16" s="38">
        <f t="shared" si="8"/>
        <v>2.0999999999999999E-3</v>
      </c>
    </row>
    <row r="17" spans="1:32">
      <c r="A17" s="14"/>
      <c r="B17" s="15" t="s">
        <v>102</v>
      </c>
      <c r="C17" s="29">
        <f t="shared" ref="C17:AF17" si="9">AVERAGE(C2:C14)</f>
        <v>2.7916666666666665</v>
      </c>
      <c r="D17" s="16">
        <f t="shared" si="9"/>
        <v>496.25</v>
      </c>
      <c r="E17" s="16">
        <f t="shared" si="9"/>
        <v>250.16666666666666</v>
      </c>
      <c r="F17" s="30">
        <f t="shared" si="9"/>
        <v>8.0108333333333324</v>
      </c>
      <c r="G17" s="29">
        <f t="shared" si="9"/>
        <v>1.5</v>
      </c>
      <c r="H17" s="16">
        <f t="shared" si="9"/>
        <v>374.08333333333331</v>
      </c>
      <c r="I17" s="30">
        <f t="shared" si="9"/>
        <v>0.38666666666666666</v>
      </c>
      <c r="J17" s="31">
        <f t="shared" si="9"/>
        <v>4.5833333333333325E-3</v>
      </c>
      <c r="K17" s="31">
        <f t="shared" si="9"/>
        <v>0.93425000000000014</v>
      </c>
      <c r="L17" s="31">
        <f t="shared" si="9"/>
        <v>6.0000000000000016E-4</v>
      </c>
      <c r="M17" s="30">
        <f t="shared" si="9"/>
        <v>171.52500000000001</v>
      </c>
      <c r="N17" s="31">
        <f t="shared" si="9"/>
        <v>0</v>
      </c>
      <c r="O17" s="31">
        <f t="shared" si="9"/>
        <v>2.4999999999999996E-3</v>
      </c>
      <c r="P17" s="31">
        <f t="shared" si="9"/>
        <v>2.4999999999999996E-3</v>
      </c>
      <c r="Q17" s="30">
        <f t="shared" si="9"/>
        <v>0.27416666666666667</v>
      </c>
      <c r="R17" s="38">
        <f t="shared" si="9"/>
        <v>1.8149999999999999E-2</v>
      </c>
      <c r="S17" s="31">
        <f t="shared" si="9"/>
        <v>1.4840000000000001E-2</v>
      </c>
      <c r="T17" s="53">
        <f t="shared" si="9"/>
        <v>1.3520000000000001E-5</v>
      </c>
      <c r="U17" s="38">
        <f t="shared" si="9"/>
        <v>1.024E-3</v>
      </c>
      <c r="V17" s="39">
        <f t="shared" si="9"/>
        <v>1.0759999999999999E-4</v>
      </c>
      <c r="W17" s="40">
        <f t="shared" si="9"/>
        <v>2.5000000000000002E-6</v>
      </c>
      <c r="X17" s="39">
        <f t="shared" si="9"/>
        <v>3.4119999999999997E-3</v>
      </c>
      <c r="Y17" s="39">
        <f t="shared" si="9"/>
        <v>4.4340000000000004E-3</v>
      </c>
      <c r="Z17" s="40">
        <f t="shared" si="9"/>
        <v>6.5000000000000004E-6</v>
      </c>
      <c r="AA17" s="38">
        <f t="shared" si="9"/>
        <v>1.25E-3</v>
      </c>
      <c r="AB17" s="38">
        <f t="shared" si="9"/>
        <v>1.3925E-2</v>
      </c>
      <c r="AC17" s="40">
        <f t="shared" si="9"/>
        <v>4.5200000000000006E-3</v>
      </c>
      <c r="AD17" s="38">
        <f t="shared" si="9"/>
        <v>1.2641666666666667E-3</v>
      </c>
      <c r="AE17" s="31">
        <f t="shared" si="9"/>
        <v>1.0641666666666667E-2</v>
      </c>
      <c r="AF17" s="38">
        <f t="shared" si="9"/>
        <v>7.2499999999999995E-4</v>
      </c>
    </row>
    <row r="18" spans="1:32">
      <c r="A18" s="14"/>
      <c r="B18" s="15" t="s">
        <v>103</v>
      </c>
      <c r="C18" s="29">
        <f t="shared" ref="C18:AF18" si="10">_xlfn.STDEV.P(C2:C14)</f>
        <v>3.9668329797067194</v>
      </c>
      <c r="D18" s="16">
        <f t="shared" si="10"/>
        <v>108.65934919125306</v>
      </c>
      <c r="E18" s="16">
        <f t="shared" si="10"/>
        <v>64.292085222227954</v>
      </c>
      <c r="F18" s="30">
        <f t="shared" si="10"/>
        <v>7.0764672604972059E-2</v>
      </c>
      <c r="G18" s="29">
        <f t="shared" si="10"/>
        <v>0</v>
      </c>
      <c r="H18" s="16">
        <f t="shared" si="10"/>
        <v>83.492972092798851</v>
      </c>
      <c r="I18" s="30">
        <f t="shared" si="10"/>
        <v>0.38347823348340854</v>
      </c>
      <c r="J18" s="31">
        <f t="shared" si="10"/>
        <v>5.2257110095713828E-3</v>
      </c>
      <c r="K18" s="31">
        <f t="shared" si="10"/>
        <v>0.22495744968030354</v>
      </c>
      <c r="L18" s="31">
        <f t="shared" si="10"/>
        <v>2.2360679774997898E-4</v>
      </c>
      <c r="M18" s="30">
        <f t="shared" si="10"/>
        <v>53.506341135109025</v>
      </c>
      <c r="N18" s="31">
        <f t="shared" si="10"/>
        <v>0</v>
      </c>
      <c r="O18" s="31">
        <f t="shared" si="10"/>
        <v>4.3368086899420177E-19</v>
      </c>
      <c r="P18" s="31">
        <f t="shared" si="10"/>
        <v>4.3368086899420177E-19</v>
      </c>
      <c r="Q18" s="30">
        <f t="shared" si="10"/>
        <v>8.0151765766922262E-2</v>
      </c>
      <c r="R18" s="38">
        <f t="shared" si="10"/>
        <v>1.0241093691593688E-2</v>
      </c>
      <c r="S18" s="31">
        <f t="shared" si="10"/>
        <v>1.7281203661782363E-3</v>
      </c>
      <c r="T18" s="53">
        <f t="shared" si="10"/>
        <v>4.9015915782529253E-6</v>
      </c>
      <c r="U18" s="38">
        <f t="shared" si="10"/>
        <v>2.5176179217665259E-4</v>
      </c>
      <c r="V18" s="39">
        <f t="shared" si="10"/>
        <v>1.7537114928060433E-4</v>
      </c>
      <c r="W18" s="40">
        <f t="shared" si="10"/>
        <v>0</v>
      </c>
      <c r="X18" s="39">
        <f t="shared" si="10"/>
        <v>8.878378230285078E-4</v>
      </c>
      <c r="Y18" s="39">
        <f t="shared" si="10"/>
        <v>7.2062750433216202E-4</v>
      </c>
      <c r="Z18" s="40">
        <f t="shared" si="10"/>
        <v>4.3588989435406738E-6</v>
      </c>
      <c r="AA18" s="38">
        <f t="shared" si="10"/>
        <v>5.0000000000000001E-4</v>
      </c>
      <c r="AB18" s="38">
        <f t="shared" si="10"/>
        <v>1.5647816674113572E-3</v>
      </c>
      <c r="AC18" s="40">
        <f t="shared" si="10"/>
        <v>2.4921777625201607E-3</v>
      </c>
      <c r="AD18" s="38">
        <f t="shared" si="10"/>
        <v>1.0145479973312692E-3</v>
      </c>
      <c r="AE18" s="31">
        <f t="shared" si="10"/>
        <v>1.3116494598617249E-2</v>
      </c>
      <c r="AF18" s="38">
        <f t="shared" si="10"/>
        <v>6.2165773005194204E-4</v>
      </c>
    </row>
    <row r="19" spans="1:32" ht="12.75" customHeight="1">
      <c r="A19" s="17"/>
      <c r="B19" s="132" t="s">
        <v>112</v>
      </c>
      <c r="C19" s="133"/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6"/>
    </row>
    <row r="20" spans="1:32" ht="12.75" customHeight="1">
      <c r="A20" s="17"/>
      <c r="B20" s="134" t="s">
        <v>117</v>
      </c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5"/>
      <c r="S20" s="135"/>
      <c r="T20" s="13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6"/>
    </row>
    <row r="21" spans="1:32" ht="12.75" customHeight="1">
      <c r="A21" s="17"/>
      <c r="B21" s="134" t="s">
        <v>114</v>
      </c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6"/>
    </row>
    <row r="22" spans="1:32" ht="12.75" customHeight="1">
      <c r="A22" s="17"/>
      <c r="B22" s="134" t="s">
        <v>108</v>
      </c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35"/>
      <c r="O22" s="135"/>
      <c r="P22" s="135"/>
      <c r="Q22" s="135"/>
      <c r="R22" s="135"/>
      <c r="S22" s="135"/>
      <c r="T22" s="13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6"/>
    </row>
    <row r="23" spans="1:32" ht="25.5" customHeight="1">
      <c r="A23" s="18"/>
      <c r="B23" s="134" t="s">
        <v>115</v>
      </c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6"/>
    </row>
    <row r="24" spans="1:32" ht="12.75" customHeight="1"/>
  </sheetData>
  <mergeCells count="5">
    <mergeCell ref="B19:T19"/>
    <mergeCell ref="B20:T20"/>
    <mergeCell ref="B21:T21"/>
    <mergeCell ref="B22:T22"/>
    <mergeCell ref="B23:T23"/>
  </mergeCells>
  <printOptions horizontalCentered="1"/>
  <pageMargins left="0.25" right="0.25" top="1.0833333333333299" bottom="0.75" header="0.3" footer="0.3"/>
  <pageSetup orientation="landscape" r:id="rId1"/>
  <headerFooter alignWithMargins="0">
    <oddHeader>&amp;LBarrick Gold Inc. - Nickel Plate Mine&amp;C&amp;"-,Regular"&amp;18
Table 7 - CAHILL-2 (E206824) Data&amp;RAnnual Report, 2017</oddHead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P24"/>
  <sheetViews>
    <sheetView view="pageLayout" zoomScaleNormal="100" workbookViewId="0">
      <selection activeCell="B33" sqref="B33"/>
    </sheetView>
  </sheetViews>
  <sheetFormatPr defaultColWidth="9.1328125" defaultRowHeight="15.75"/>
  <cols>
    <col min="1" max="1" width="11.59765625" style="19" bestFit="1" customWidth="1"/>
    <col min="2" max="2" width="11" style="23" bestFit="1" customWidth="1"/>
    <col min="3" max="3" width="8.1328125" style="19" bestFit="1" customWidth="1"/>
    <col min="4" max="4" width="8.59765625" style="19" bestFit="1" customWidth="1"/>
    <col min="5" max="5" width="9.73046875" style="19" bestFit="1" customWidth="1"/>
    <col min="6" max="6" width="5.73046875" style="19" bestFit="1" customWidth="1"/>
    <col min="7" max="7" width="9.1328125" style="19" bestFit="1" customWidth="1"/>
    <col min="8" max="8" width="8" style="19" bestFit="1" customWidth="1"/>
    <col min="9" max="9" width="9.73046875" style="19" bestFit="1" customWidth="1"/>
    <col min="10" max="10" width="6.1328125" style="74" bestFit="1" customWidth="1"/>
    <col min="11" max="12" width="8" style="19" bestFit="1" customWidth="1"/>
    <col min="13" max="13" width="6.86328125" style="19" bestFit="1" customWidth="1"/>
    <col min="14" max="14" width="5.73046875" style="19" bestFit="1" customWidth="1"/>
    <col min="15" max="15" width="9.265625" style="19" bestFit="1" customWidth="1"/>
    <col min="16" max="16" width="8" style="19" bestFit="1" customWidth="1"/>
    <col min="17" max="16384" width="9.1328125" style="19"/>
  </cols>
  <sheetData>
    <row r="1" spans="1:16" ht="132">
      <c r="A1" s="1" t="s">
        <v>45</v>
      </c>
      <c r="B1" s="2" t="s">
        <v>46</v>
      </c>
      <c r="C1" s="5" t="s">
        <v>47</v>
      </c>
      <c r="D1" s="5" t="s">
        <v>51</v>
      </c>
      <c r="E1" s="71" t="s">
        <v>0</v>
      </c>
      <c r="F1" s="4" t="s">
        <v>52</v>
      </c>
      <c r="G1" s="5" t="s">
        <v>56</v>
      </c>
      <c r="H1" s="7" t="s">
        <v>57</v>
      </c>
      <c r="I1" s="5" t="s">
        <v>59</v>
      </c>
      <c r="J1" s="73" t="s">
        <v>105</v>
      </c>
      <c r="K1" s="7" t="s">
        <v>60</v>
      </c>
      <c r="L1" s="7" t="s">
        <v>61</v>
      </c>
      <c r="M1" s="4" t="s">
        <v>62</v>
      </c>
      <c r="N1" s="9" t="s">
        <v>85</v>
      </c>
      <c r="O1" s="10" t="s">
        <v>86</v>
      </c>
      <c r="P1" s="7" t="s">
        <v>87</v>
      </c>
    </row>
    <row r="2" spans="1:16">
      <c r="A2" s="20" t="s">
        <v>28</v>
      </c>
      <c r="B2" s="21">
        <v>42740.5</v>
      </c>
      <c r="C2" s="84" t="s">
        <v>118</v>
      </c>
      <c r="D2" s="22">
        <v>5610</v>
      </c>
      <c r="E2" s="22">
        <v>1790</v>
      </c>
      <c r="F2" s="22">
        <v>7.12</v>
      </c>
      <c r="G2" s="22">
        <v>39.9</v>
      </c>
      <c r="H2" s="24">
        <f>0.5* 0.1</f>
        <v>0.05</v>
      </c>
      <c r="I2" s="22">
        <v>2480</v>
      </c>
      <c r="J2" s="72">
        <f>L2-K2</f>
        <v>0.501</v>
      </c>
      <c r="K2" s="22">
        <v>1.7000000000000001E-2</v>
      </c>
      <c r="L2" s="22">
        <v>0.51800000000000002</v>
      </c>
      <c r="M2" s="22">
        <v>706</v>
      </c>
      <c r="N2" s="22">
        <v>1.33</v>
      </c>
      <c r="O2" s="24">
        <f>0.5* 0.0005</f>
        <v>2.5000000000000001E-4</v>
      </c>
      <c r="P2" s="22">
        <v>3.26</v>
      </c>
    </row>
    <row r="3" spans="1:16">
      <c r="A3" s="20" t="s">
        <v>28</v>
      </c>
      <c r="B3" s="21">
        <v>42774.5</v>
      </c>
      <c r="C3" s="84" t="s">
        <v>118</v>
      </c>
      <c r="D3" s="22">
        <v>6790</v>
      </c>
      <c r="E3" s="22">
        <v>1540</v>
      </c>
      <c r="F3" s="22">
        <v>7.71</v>
      </c>
      <c r="G3" s="22">
        <v>58.5</v>
      </c>
      <c r="H3" s="24">
        <f>0.5* 0.25</f>
        <v>0.125</v>
      </c>
      <c r="I3" s="22">
        <v>2570</v>
      </c>
      <c r="J3" s="72">
        <f t="shared" ref="J3:J13" si="0">L3-K3</f>
        <v>1.006</v>
      </c>
      <c r="K3" s="22">
        <v>1.4E-2</v>
      </c>
      <c r="L3" s="22">
        <v>1.02</v>
      </c>
      <c r="M3" s="22">
        <v>1470</v>
      </c>
      <c r="N3" s="22">
        <v>2.3199999999999998</v>
      </c>
      <c r="O3" s="22">
        <v>1.39E-3</v>
      </c>
      <c r="P3" s="22">
        <v>2.6499999999999999E-2</v>
      </c>
    </row>
    <row r="4" spans="1:16">
      <c r="A4" s="20" t="s">
        <v>28</v>
      </c>
      <c r="B4" s="21">
        <v>42801.5</v>
      </c>
      <c r="C4" s="84" t="s">
        <v>118</v>
      </c>
      <c r="D4" s="22">
        <v>5420</v>
      </c>
      <c r="E4" s="22">
        <v>1870</v>
      </c>
      <c r="F4" s="22">
        <v>7.53</v>
      </c>
      <c r="G4" s="22">
        <v>35.5</v>
      </c>
      <c r="H4" s="24">
        <f>0.5* 0.25</f>
        <v>0.125</v>
      </c>
      <c r="I4" s="22">
        <v>2460</v>
      </c>
      <c r="J4" s="72">
        <f t="shared" si="0"/>
        <v>0.41000000000000003</v>
      </c>
      <c r="K4" s="22">
        <v>9.2999999999999999E-2</v>
      </c>
      <c r="L4" s="22">
        <v>0.503</v>
      </c>
      <c r="M4" s="22">
        <v>813</v>
      </c>
      <c r="N4" s="22">
        <v>1.33</v>
      </c>
      <c r="O4" s="24">
        <f t="shared" ref="O4:O10" si="1">0.5* 0.001</f>
        <v>5.0000000000000001E-4</v>
      </c>
      <c r="P4" s="24">
        <f>0.5* 0.06</f>
        <v>0.03</v>
      </c>
    </row>
    <row r="5" spans="1:16">
      <c r="A5" s="20" t="s">
        <v>28</v>
      </c>
      <c r="B5" s="21">
        <v>42837.5</v>
      </c>
      <c r="C5" s="84" t="s">
        <v>118</v>
      </c>
      <c r="D5" s="22">
        <v>5730</v>
      </c>
      <c r="E5" s="22">
        <v>1940</v>
      </c>
      <c r="F5" s="22">
        <v>7.4</v>
      </c>
      <c r="G5" s="22">
        <v>35.4</v>
      </c>
      <c r="H5" s="24">
        <f>0.5* 0.25</f>
        <v>0.125</v>
      </c>
      <c r="I5" s="22">
        <v>2570</v>
      </c>
      <c r="J5" s="72">
        <f t="shared" si="0"/>
        <v>0.49</v>
      </c>
      <c r="K5" s="22">
        <v>0.03</v>
      </c>
      <c r="L5" s="22">
        <v>0.52</v>
      </c>
      <c r="M5" s="22">
        <v>737</v>
      </c>
      <c r="N5" s="22">
        <v>1.39</v>
      </c>
      <c r="O5" s="24">
        <f t="shared" si="1"/>
        <v>5.0000000000000001E-4</v>
      </c>
      <c r="P5" s="24">
        <f>0.5* 0.05</f>
        <v>2.5000000000000001E-2</v>
      </c>
    </row>
    <row r="6" spans="1:16">
      <c r="A6" s="20" t="s">
        <v>28</v>
      </c>
      <c r="B6" s="21">
        <v>42865</v>
      </c>
      <c r="C6" s="84" t="s">
        <v>118</v>
      </c>
      <c r="D6" s="22">
        <v>3110</v>
      </c>
      <c r="E6" s="22">
        <v>1830</v>
      </c>
      <c r="F6" s="22">
        <v>7.67</v>
      </c>
      <c r="G6" s="22">
        <v>40.6</v>
      </c>
      <c r="H6" s="24">
        <f>0.5* 0.1</f>
        <v>0.05</v>
      </c>
      <c r="I6" s="22">
        <v>2750</v>
      </c>
      <c r="J6" s="72">
        <f t="shared" si="0"/>
        <v>0.46600000000000003</v>
      </c>
      <c r="K6" s="22">
        <v>4.7E-2</v>
      </c>
      <c r="L6" s="22">
        <v>0.51300000000000001</v>
      </c>
      <c r="M6" s="22">
        <v>828</v>
      </c>
      <c r="N6" s="22">
        <v>1.43</v>
      </c>
      <c r="O6" s="24">
        <f t="shared" si="1"/>
        <v>5.0000000000000001E-4</v>
      </c>
      <c r="P6" s="22">
        <v>6.0999999999999999E-2</v>
      </c>
    </row>
    <row r="7" spans="1:16">
      <c r="A7" s="20" t="s">
        <v>28</v>
      </c>
      <c r="B7" s="21">
        <v>42893.5</v>
      </c>
      <c r="C7" s="84" t="s">
        <v>118</v>
      </c>
      <c r="D7" s="22">
        <v>6130</v>
      </c>
      <c r="E7" s="22">
        <v>1790</v>
      </c>
      <c r="F7" s="22">
        <v>7.8</v>
      </c>
      <c r="G7" s="22">
        <v>44.8</v>
      </c>
      <c r="H7" s="24">
        <f>0.5* 0.25</f>
        <v>0.125</v>
      </c>
      <c r="I7" s="22">
        <v>2670</v>
      </c>
      <c r="J7" s="72">
        <f t="shared" si="0"/>
        <v>0.53200000000000003</v>
      </c>
      <c r="K7" s="22">
        <v>1.7999999999999999E-2</v>
      </c>
      <c r="L7" s="22">
        <v>0.55000000000000004</v>
      </c>
      <c r="M7" s="22">
        <v>1580</v>
      </c>
      <c r="N7" s="22">
        <v>1.37</v>
      </c>
      <c r="O7" s="24">
        <f t="shared" si="1"/>
        <v>5.0000000000000001E-4</v>
      </c>
      <c r="P7" s="24">
        <f>0.5* 0.05</f>
        <v>2.5000000000000001E-2</v>
      </c>
    </row>
    <row r="8" spans="1:16">
      <c r="A8" s="20" t="s">
        <v>28</v>
      </c>
      <c r="B8" s="21">
        <v>42928.5</v>
      </c>
      <c r="C8" s="84" t="s">
        <v>118</v>
      </c>
      <c r="D8" s="22">
        <v>5510</v>
      </c>
      <c r="E8" s="22">
        <v>1770</v>
      </c>
      <c r="F8" s="22">
        <v>7.93</v>
      </c>
      <c r="G8" s="22">
        <v>37.9</v>
      </c>
      <c r="H8" s="24">
        <f>0.5* 0.1</f>
        <v>0.05</v>
      </c>
      <c r="I8" s="22">
        <v>2430</v>
      </c>
      <c r="J8" s="72">
        <f t="shared" si="0"/>
        <v>0.47700000000000004</v>
      </c>
      <c r="K8" s="22">
        <v>6.3E-2</v>
      </c>
      <c r="L8" s="22">
        <v>0.54</v>
      </c>
      <c r="M8" s="22">
        <v>752</v>
      </c>
      <c r="N8" s="22">
        <v>1.32</v>
      </c>
      <c r="O8" s="24">
        <f t="shared" si="1"/>
        <v>5.0000000000000001E-4</v>
      </c>
      <c r="P8" s="24">
        <f>0.5* 0.05</f>
        <v>2.5000000000000001E-2</v>
      </c>
    </row>
    <row r="9" spans="1:16">
      <c r="A9" s="20" t="s">
        <v>28</v>
      </c>
      <c r="B9" s="21">
        <v>42956.5</v>
      </c>
      <c r="C9" s="84" t="s">
        <v>118</v>
      </c>
      <c r="D9" s="22">
        <v>5560</v>
      </c>
      <c r="E9" s="22">
        <v>1860</v>
      </c>
      <c r="F9" s="22">
        <v>7.51</v>
      </c>
      <c r="G9" s="22">
        <v>37.6</v>
      </c>
      <c r="H9" s="24">
        <f>0.5* 0.25</f>
        <v>0.125</v>
      </c>
      <c r="I9" s="22">
        <v>2650</v>
      </c>
      <c r="J9" s="72">
        <f t="shared" si="0"/>
        <v>0.46099999999999997</v>
      </c>
      <c r="K9" s="22">
        <v>1.4E-2</v>
      </c>
      <c r="L9" s="22">
        <v>0.47499999999999998</v>
      </c>
      <c r="M9" s="22">
        <v>780</v>
      </c>
      <c r="N9" s="22">
        <v>1.21</v>
      </c>
      <c r="O9" s="24">
        <f t="shared" si="1"/>
        <v>5.0000000000000001E-4</v>
      </c>
      <c r="P9" s="22">
        <v>0.31</v>
      </c>
    </row>
    <row r="10" spans="1:16">
      <c r="A10" s="20" t="s">
        <v>28</v>
      </c>
      <c r="B10" s="21">
        <v>42984</v>
      </c>
      <c r="C10" s="84" t="s">
        <v>118</v>
      </c>
      <c r="D10" s="22">
        <v>5410</v>
      </c>
      <c r="E10" s="22">
        <v>1900</v>
      </c>
      <c r="F10" s="22">
        <v>7.9</v>
      </c>
      <c r="G10" s="22">
        <v>34.9</v>
      </c>
      <c r="H10" s="24">
        <f>0.5* 0.1</f>
        <v>0.05</v>
      </c>
      <c r="I10" s="22">
        <v>2350</v>
      </c>
      <c r="J10" s="72">
        <f t="shared" si="0"/>
        <v>0.51100000000000001</v>
      </c>
      <c r="K10" s="22">
        <v>1.4E-2</v>
      </c>
      <c r="L10" s="22">
        <v>0.52500000000000002</v>
      </c>
      <c r="M10" s="22">
        <v>673</v>
      </c>
      <c r="N10" s="22">
        <v>1.3</v>
      </c>
      <c r="O10" s="24">
        <f t="shared" si="1"/>
        <v>5.0000000000000001E-4</v>
      </c>
      <c r="P10" s="24">
        <f>0.5* 0.05</f>
        <v>2.5000000000000001E-2</v>
      </c>
    </row>
    <row r="11" spans="1:16">
      <c r="A11" s="20" t="s">
        <v>28</v>
      </c>
      <c r="B11" s="21">
        <v>43019.5</v>
      </c>
      <c r="C11" s="84" t="s">
        <v>118</v>
      </c>
      <c r="D11" s="22">
        <v>5380</v>
      </c>
      <c r="E11" s="22">
        <v>1750</v>
      </c>
      <c r="F11" s="22">
        <v>7.88</v>
      </c>
      <c r="G11" s="22">
        <v>36.4</v>
      </c>
      <c r="H11" s="22">
        <v>0.31</v>
      </c>
      <c r="I11" s="22">
        <v>2450</v>
      </c>
      <c r="J11" s="72">
        <f t="shared" si="0"/>
        <v>0.45099999999999996</v>
      </c>
      <c r="K11" s="22">
        <v>1.9E-2</v>
      </c>
      <c r="L11" s="22">
        <v>0.47</v>
      </c>
      <c r="M11" s="22">
        <v>715</v>
      </c>
      <c r="N11" s="22">
        <v>1.29</v>
      </c>
      <c r="O11" s="24">
        <f>0.5* 0.0004</f>
        <v>2.0000000000000001E-4</v>
      </c>
      <c r="P11" s="22">
        <v>0.71799999999999997</v>
      </c>
    </row>
    <row r="12" spans="1:16">
      <c r="A12" s="20" t="s">
        <v>28</v>
      </c>
      <c r="B12" s="21">
        <v>43047.5</v>
      </c>
      <c r="C12" s="84" t="s">
        <v>118</v>
      </c>
      <c r="D12" s="22">
        <v>5210</v>
      </c>
      <c r="E12" s="22">
        <v>1890</v>
      </c>
      <c r="F12" s="22">
        <v>7.65</v>
      </c>
      <c r="G12" s="22">
        <v>31.3</v>
      </c>
      <c r="H12" s="24">
        <f>0.5* 0.25</f>
        <v>0.125</v>
      </c>
      <c r="I12" s="22">
        <v>2410</v>
      </c>
      <c r="J12" s="72">
        <f t="shared" si="0"/>
        <v>0.379</v>
      </c>
      <c r="K12" s="22">
        <v>3.1E-2</v>
      </c>
      <c r="L12" s="22">
        <v>0.41</v>
      </c>
      <c r="M12" s="22">
        <v>747</v>
      </c>
      <c r="N12" s="22">
        <v>1.37</v>
      </c>
      <c r="O12" s="24">
        <f>0.5* 0.001</f>
        <v>5.0000000000000001E-4</v>
      </c>
      <c r="P12" s="24">
        <f>0.5* 0.05</f>
        <v>2.5000000000000001E-2</v>
      </c>
    </row>
    <row r="13" spans="1:16">
      <c r="A13" s="20" t="s">
        <v>28</v>
      </c>
      <c r="B13" s="21">
        <v>43075.5</v>
      </c>
      <c r="C13" s="84" t="s">
        <v>118</v>
      </c>
      <c r="D13" s="22">
        <v>5230</v>
      </c>
      <c r="E13" s="22">
        <v>1760</v>
      </c>
      <c r="F13" s="22">
        <v>7.42</v>
      </c>
      <c r="G13" s="22">
        <v>32</v>
      </c>
      <c r="H13" s="22">
        <v>0.36</v>
      </c>
      <c r="I13" s="22">
        <v>2380</v>
      </c>
      <c r="J13" s="72">
        <f t="shared" si="0"/>
        <v>0.41399999999999998</v>
      </c>
      <c r="K13" s="22">
        <v>1.0999999999999999E-2</v>
      </c>
      <c r="L13" s="22">
        <v>0.42499999999999999</v>
      </c>
      <c r="M13" s="22">
        <v>726</v>
      </c>
      <c r="N13" s="22">
        <v>1.29</v>
      </c>
      <c r="O13" s="24">
        <f>0.5* 0.001</f>
        <v>5.0000000000000001E-4</v>
      </c>
      <c r="P13" s="22">
        <v>0.20599999999999999</v>
      </c>
    </row>
    <row r="14" spans="1:16">
      <c r="A14" s="14"/>
      <c r="B14" s="15" t="s">
        <v>100</v>
      </c>
      <c r="C14" s="85" t="s">
        <v>96</v>
      </c>
      <c r="D14" s="16">
        <f t="shared" ref="D14:P14" si="2">MIN(D2:D13)</f>
        <v>3110</v>
      </c>
      <c r="E14" s="30">
        <f t="shared" si="2"/>
        <v>1540</v>
      </c>
      <c r="F14" s="30">
        <f t="shared" si="2"/>
        <v>7.12</v>
      </c>
      <c r="G14" s="29">
        <f t="shared" si="2"/>
        <v>31.3</v>
      </c>
      <c r="H14" s="31">
        <f t="shared" si="2"/>
        <v>0.05</v>
      </c>
      <c r="I14" s="30">
        <f t="shared" si="2"/>
        <v>2350</v>
      </c>
      <c r="J14" s="46">
        <f t="shared" si="2"/>
        <v>0.379</v>
      </c>
      <c r="K14" s="31">
        <f t="shared" si="2"/>
        <v>1.0999999999999999E-2</v>
      </c>
      <c r="L14" s="31">
        <f t="shared" si="2"/>
        <v>0.41</v>
      </c>
      <c r="M14" s="16">
        <f t="shared" si="2"/>
        <v>673</v>
      </c>
      <c r="N14" s="30">
        <f t="shared" si="2"/>
        <v>1.21</v>
      </c>
      <c r="O14" s="38">
        <f t="shared" si="2"/>
        <v>2.0000000000000001E-4</v>
      </c>
      <c r="P14" s="31">
        <f t="shared" si="2"/>
        <v>2.5000000000000001E-2</v>
      </c>
    </row>
    <row r="15" spans="1:16">
      <c r="A15" s="14"/>
      <c r="B15" s="15" t="s">
        <v>101</v>
      </c>
      <c r="C15" s="85" t="s">
        <v>96</v>
      </c>
      <c r="D15" s="16">
        <f t="shared" ref="D15:P15" si="3">MAX(D2:D13)</f>
        <v>6790</v>
      </c>
      <c r="E15" s="30">
        <f t="shared" si="3"/>
        <v>1940</v>
      </c>
      <c r="F15" s="30">
        <f t="shared" si="3"/>
        <v>7.93</v>
      </c>
      <c r="G15" s="29">
        <f t="shared" si="3"/>
        <v>58.5</v>
      </c>
      <c r="H15" s="31">
        <f t="shared" si="3"/>
        <v>0.36</v>
      </c>
      <c r="I15" s="30">
        <f t="shared" si="3"/>
        <v>2750</v>
      </c>
      <c r="J15" s="46">
        <f t="shared" si="3"/>
        <v>1.006</v>
      </c>
      <c r="K15" s="31">
        <f t="shared" si="3"/>
        <v>9.2999999999999999E-2</v>
      </c>
      <c r="L15" s="31">
        <f t="shared" si="3"/>
        <v>1.02</v>
      </c>
      <c r="M15" s="16">
        <f t="shared" si="3"/>
        <v>1580</v>
      </c>
      <c r="N15" s="30">
        <f t="shared" si="3"/>
        <v>2.3199999999999998</v>
      </c>
      <c r="O15" s="38">
        <f t="shared" si="3"/>
        <v>1.39E-3</v>
      </c>
      <c r="P15" s="31">
        <f t="shared" si="3"/>
        <v>3.26</v>
      </c>
    </row>
    <row r="16" spans="1:16">
      <c r="A16" s="14"/>
      <c r="B16" s="15" t="s">
        <v>102</v>
      </c>
      <c r="C16" s="85" t="s">
        <v>96</v>
      </c>
      <c r="D16" s="16">
        <f t="shared" ref="D16:P16" si="4">AVERAGE(D2:D13)</f>
        <v>5424.166666666667</v>
      </c>
      <c r="E16" s="30">
        <f t="shared" si="4"/>
        <v>1807.5</v>
      </c>
      <c r="F16" s="30">
        <f t="shared" si="4"/>
        <v>7.626666666666666</v>
      </c>
      <c r="G16" s="29">
        <f t="shared" si="4"/>
        <v>38.733333333333327</v>
      </c>
      <c r="H16" s="31">
        <f t="shared" si="4"/>
        <v>0.13500000000000001</v>
      </c>
      <c r="I16" s="30">
        <f t="shared" si="4"/>
        <v>2514.1666666666665</v>
      </c>
      <c r="J16" s="46">
        <f t="shared" si="4"/>
        <v>0.50816666666666654</v>
      </c>
      <c r="K16" s="31">
        <f t="shared" si="4"/>
        <v>3.0916666666666676E-2</v>
      </c>
      <c r="L16" s="31">
        <f t="shared" si="4"/>
        <v>0.53908333333333325</v>
      </c>
      <c r="M16" s="16">
        <f t="shared" si="4"/>
        <v>877.25</v>
      </c>
      <c r="N16" s="30">
        <f t="shared" si="4"/>
        <v>1.4124999999999999</v>
      </c>
      <c r="O16" s="38">
        <f t="shared" si="4"/>
        <v>5.2833333333333335E-4</v>
      </c>
      <c r="P16" s="31">
        <f t="shared" si="4"/>
        <v>0.39470833333333338</v>
      </c>
    </row>
    <row r="17" spans="1:16">
      <c r="A17" s="14"/>
      <c r="B17" s="15" t="s">
        <v>103</v>
      </c>
      <c r="C17" s="85" t="s">
        <v>96</v>
      </c>
      <c r="D17" s="16">
        <f t="shared" ref="D17:P17" si="5">_xlfn.STDEV.P(D2:D13)</f>
        <v>814.38584562574238</v>
      </c>
      <c r="E17" s="30">
        <f t="shared" si="5"/>
        <v>99.676560267029004</v>
      </c>
      <c r="F17" s="30">
        <f t="shared" si="5"/>
        <v>0.23167266179293189</v>
      </c>
      <c r="G17" s="29">
        <f t="shared" si="5"/>
        <v>6.9320912348936341</v>
      </c>
      <c r="H17" s="31">
        <f t="shared" si="5"/>
        <v>9.6068551913030653E-2</v>
      </c>
      <c r="I17" s="30">
        <f t="shared" si="5"/>
        <v>120.99988521573985</v>
      </c>
      <c r="J17" s="46">
        <f t="shared" si="5"/>
        <v>0.15605171863484557</v>
      </c>
      <c r="K17" s="31">
        <f t="shared" si="5"/>
        <v>2.3980750382106245E-2</v>
      </c>
      <c r="L17" s="31">
        <f t="shared" si="5"/>
        <v>0.15081636644903273</v>
      </c>
      <c r="M17" s="16">
        <f t="shared" si="5"/>
        <v>293.51181833105119</v>
      </c>
      <c r="N17" s="30">
        <f t="shared" si="5"/>
        <v>0.27896012259819625</v>
      </c>
      <c r="O17" s="38">
        <f t="shared" si="5"/>
        <v>2.791305946844396E-4</v>
      </c>
      <c r="P17" s="31">
        <f t="shared" si="5"/>
        <v>0.8860291675582066</v>
      </c>
    </row>
    <row r="18" spans="1:16" ht="12.75" customHeight="1">
      <c r="A18" s="17"/>
      <c r="B18" s="131" t="s">
        <v>112</v>
      </c>
      <c r="C18" s="130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</row>
    <row r="19" spans="1:16" ht="12.75" customHeight="1">
      <c r="A19" s="17"/>
      <c r="B19" s="130" t="s">
        <v>117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</row>
    <row r="20" spans="1:16" ht="12.75" customHeight="1">
      <c r="A20" s="17"/>
      <c r="B20" s="130" t="s">
        <v>114</v>
      </c>
      <c r="C20" s="130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</row>
    <row r="21" spans="1:16" ht="12.75" customHeight="1">
      <c r="A21" s="17"/>
      <c r="B21" s="130" t="s">
        <v>108</v>
      </c>
      <c r="C21" s="130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</row>
    <row r="22" spans="1:16" ht="12.75" customHeight="1">
      <c r="A22" s="18"/>
      <c r="B22" s="130" t="s">
        <v>115</v>
      </c>
      <c r="C22" s="130"/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</row>
    <row r="23" spans="1:16" ht="12.75" customHeight="1">
      <c r="A23" s="18"/>
      <c r="B23" s="130" t="s">
        <v>109</v>
      </c>
      <c r="C23" s="130"/>
      <c r="D23" s="130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</row>
    <row r="24" spans="1:16" ht="12.75" customHeight="1"/>
  </sheetData>
  <mergeCells count="6">
    <mergeCell ref="B22:P22"/>
    <mergeCell ref="B23:P23"/>
    <mergeCell ref="B18:P18"/>
    <mergeCell ref="B19:P19"/>
    <mergeCell ref="B20:P20"/>
    <mergeCell ref="B21:P21"/>
  </mergeCells>
  <printOptions horizontalCentered="1"/>
  <pageMargins left="0.25" right="0.25" top="1.0833333333333299" bottom="0.75" header="0.3" footer="0.3"/>
  <pageSetup orientation="landscape" r:id="rId1"/>
  <headerFooter alignWithMargins="0">
    <oddHeader>&amp;LBarrick Gold Inc. - Nickel Plate Mine&amp;C&amp;"-,Regular"&amp;18
Table 43 - W11_WELL Data&amp;RAnnual Report, 2017</oddHead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C20"/>
  <sheetViews>
    <sheetView view="pageLayout" zoomScaleNormal="100" workbookViewId="0">
      <selection activeCell="B33" sqref="B33"/>
    </sheetView>
  </sheetViews>
  <sheetFormatPr defaultColWidth="9.1328125" defaultRowHeight="15.75"/>
  <cols>
    <col min="1" max="1" width="11.59765625" style="19" bestFit="1" customWidth="1"/>
    <col min="2" max="2" width="11" style="23" bestFit="1" customWidth="1"/>
    <col min="3" max="3" width="9.73046875" style="19" bestFit="1" customWidth="1"/>
    <col min="4" max="16384" width="9.1328125" style="19"/>
  </cols>
  <sheetData>
    <row r="1" spans="1:3" ht="63.75">
      <c r="A1" s="1" t="s">
        <v>45</v>
      </c>
      <c r="B1" s="2" t="s">
        <v>46</v>
      </c>
      <c r="C1" s="5" t="s">
        <v>122</v>
      </c>
    </row>
    <row r="2" spans="1:3">
      <c r="A2" s="20" t="s">
        <v>98</v>
      </c>
      <c r="B2" s="21">
        <v>42740</v>
      </c>
      <c r="C2" s="91">
        <v>4535.0600000000004</v>
      </c>
    </row>
    <row r="3" spans="1:3">
      <c r="A3" s="20" t="s">
        <v>98</v>
      </c>
      <c r="B3" s="21">
        <v>42775</v>
      </c>
      <c r="C3" s="91">
        <v>4535.5200000000004</v>
      </c>
    </row>
    <row r="4" spans="1:3">
      <c r="A4" s="20" t="s">
        <v>98</v>
      </c>
      <c r="B4" s="21">
        <v>42801</v>
      </c>
      <c r="C4" s="91">
        <v>4535.55</v>
      </c>
    </row>
    <row r="5" spans="1:3">
      <c r="A5" s="20" t="s">
        <v>98</v>
      </c>
      <c r="B5" s="21">
        <v>42837</v>
      </c>
      <c r="C5" s="91">
        <v>4537.26</v>
      </c>
    </row>
    <row r="6" spans="1:3">
      <c r="A6" s="20" t="s">
        <v>98</v>
      </c>
      <c r="B6" s="21">
        <v>42886</v>
      </c>
      <c r="C6" s="91">
        <v>4540.8999999999996</v>
      </c>
    </row>
    <row r="7" spans="1:3">
      <c r="A7" s="20" t="s">
        <v>98</v>
      </c>
      <c r="B7" s="21">
        <v>42893</v>
      </c>
      <c r="C7" s="91">
        <v>4541.79</v>
      </c>
    </row>
    <row r="8" spans="1:3">
      <c r="A8" s="20" t="s">
        <v>98</v>
      </c>
      <c r="B8" s="21">
        <v>42921</v>
      </c>
      <c r="C8" s="91">
        <v>4540.3100000000004</v>
      </c>
    </row>
    <row r="9" spans="1:3">
      <c r="A9" s="20" t="s">
        <v>98</v>
      </c>
      <c r="B9" s="21">
        <v>42949</v>
      </c>
      <c r="C9" s="91">
        <v>4538.51</v>
      </c>
    </row>
    <row r="10" spans="1:3">
      <c r="A10" s="20" t="s">
        <v>98</v>
      </c>
      <c r="B10" s="21">
        <v>42984</v>
      </c>
      <c r="C10" s="91">
        <v>4537.1899999999996</v>
      </c>
    </row>
    <row r="11" spans="1:3">
      <c r="A11" s="20" t="s">
        <v>98</v>
      </c>
      <c r="B11" s="21">
        <v>43012</v>
      </c>
      <c r="C11" s="91">
        <v>4527.4799999999996</v>
      </c>
    </row>
    <row r="12" spans="1:3">
      <c r="A12" s="20" t="s">
        <v>98</v>
      </c>
      <c r="B12" s="21">
        <v>43047</v>
      </c>
      <c r="C12" s="91">
        <v>4536.24</v>
      </c>
    </row>
    <row r="13" spans="1:3">
      <c r="A13" s="20" t="s">
        <v>98</v>
      </c>
      <c r="B13" s="93">
        <v>43075</v>
      </c>
      <c r="C13" s="91">
        <v>4535.82</v>
      </c>
    </row>
    <row r="14" spans="1:3">
      <c r="A14" s="14"/>
      <c r="B14" s="15" t="s">
        <v>100</v>
      </c>
      <c r="C14" s="30">
        <f t="shared" ref="C14" si="0">MIN(C2:C13)</f>
        <v>4527.4799999999996</v>
      </c>
    </row>
    <row r="15" spans="1:3">
      <c r="A15" s="14"/>
      <c r="B15" s="15" t="s">
        <v>101</v>
      </c>
      <c r="C15" s="30">
        <f t="shared" ref="C15" si="1">MAX(C2:C13)</f>
        <v>4541.79</v>
      </c>
    </row>
    <row r="16" spans="1:3">
      <c r="A16" s="14"/>
      <c r="B16" s="15" t="s">
        <v>102</v>
      </c>
      <c r="C16" s="30">
        <f t="shared" ref="C16" si="2">AVERAGE(C2:C13)</f>
        <v>4536.8025000000007</v>
      </c>
    </row>
    <row r="17" spans="1:3">
      <c r="A17" s="14"/>
      <c r="B17" s="15" t="s">
        <v>103</v>
      </c>
      <c r="C17" s="30">
        <f t="shared" ref="C17" si="3">_xlfn.STDEV.P(C2:C13)</f>
        <v>3.555310874827569</v>
      </c>
    </row>
    <row r="18" spans="1:3" ht="12.75" customHeight="1">
      <c r="A18" s="17"/>
      <c r="B18" s="131" t="s">
        <v>112</v>
      </c>
      <c r="C18" s="130"/>
    </row>
    <row r="19" spans="1:3" ht="12.75" customHeight="1">
      <c r="A19" s="17"/>
      <c r="B19" s="130" t="s">
        <v>117</v>
      </c>
      <c r="C19" s="130"/>
    </row>
    <row r="20" spans="1:3" ht="12.75" customHeight="1"/>
  </sheetData>
  <mergeCells count="2">
    <mergeCell ref="B18:C18"/>
    <mergeCell ref="B19:C19"/>
  </mergeCells>
  <printOptions horizontalCentered="1"/>
  <pageMargins left="0.25" right="0.25" top="1.0833333333333299" bottom="0.75" header="0.3" footer="0.3"/>
  <pageSetup orientation="portrait" r:id="rId1"/>
  <headerFooter alignWithMargins="0">
    <oddHeader>&amp;LBarrick Gold Inc. - Nickel Plate Mine&amp;C&amp;"-,Regular"&amp;18
Table 44 - W1000 Phreatic&amp;RAnnual Report, 2017</oddHead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C20"/>
  <sheetViews>
    <sheetView view="pageLayout" zoomScaleNormal="100" workbookViewId="0">
      <selection activeCell="B33" sqref="B33"/>
    </sheetView>
  </sheetViews>
  <sheetFormatPr defaultColWidth="9.1328125" defaultRowHeight="15.75"/>
  <cols>
    <col min="1" max="1" width="11.59765625" style="19" bestFit="1" customWidth="1"/>
    <col min="2" max="2" width="11" style="23" bestFit="1" customWidth="1"/>
    <col min="3" max="3" width="9.73046875" style="19" bestFit="1" customWidth="1"/>
    <col min="4" max="16384" width="9.1328125" style="19"/>
  </cols>
  <sheetData>
    <row r="1" spans="1:3" ht="63.75">
      <c r="A1" s="1" t="s">
        <v>45</v>
      </c>
      <c r="B1" s="2" t="s">
        <v>46</v>
      </c>
      <c r="C1" s="5" t="s">
        <v>122</v>
      </c>
    </row>
    <row r="2" spans="1:3">
      <c r="A2" s="20" t="s">
        <v>99</v>
      </c>
      <c r="B2" s="21">
        <v>42740</v>
      </c>
      <c r="C2" s="91">
        <v>4378.78</v>
      </c>
    </row>
    <row r="3" spans="1:3">
      <c r="A3" s="20" t="s">
        <v>99</v>
      </c>
      <c r="B3" s="21">
        <v>42775</v>
      </c>
      <c r="C3" s="91">
        <v>4378.97</v>
      </c>
    </row>
    <row r="4" spans="1:3">
      <c r="A4" s="20" t="s">
        <v>99</v>
      </c>
      <c r="B4" s="21">
        <v>42801</v>
      </c>
      <c r="C4" s="91">
        <v>4379.04</v>
      </c>
    </row>
    <row r="5" spans="1:3">
      <c r="A5" s="20" t="s">
        <v>99</v>
      </c>
      <c r="B5" s="21">
        <v>42837</v>
      </c>
      <c r="C5" s="91">
        <v>4379.04</v>
      </c>
    </row>
    <row r="6" spans="1:3">
      <c r="A6" s="20" t="s">
        <v>99</v>
      </c>
      <c r="B6" s="21">
        <v>42886</v>
      </c>
      <c r="C6" s="91">
        <v>4379.3</v>
      </c>
    </row>
    <row r="7" spans="1:3">
      <c r="A7" s="20" t="s">
        <v>99</v>
      </c>
      <c r="B7" s="21">
        <v>42893</v>
      </c>
      <c r="C7" s="91">
        <v>4379.5</v>
      </c>
    </row>
    <row r="8" spans="1:3">
      <c r="A8" s="20" t="s">
        <v>99</v>
      </c>
      <c r="B8" s="21">
        <v>42921</v>
      </c>
      <c r="C8" s="91">
        <v>4379.76</v>
      </c>
    </row>
    <row r="9" spans="1:3">
      <c r="A9" s="20" t="s">
        <v>99</v>
      </c>
      <c r="B9" s="21">
        <v>42949</v>
      </c>
      <c r="C9" s="91">
        <v>4379.8900000000003</v>
      </c>
    </row>
    <row r="10" spans="1:3">
      <c r="A10" s="20" t="s">
        <v>99</v>
      </c>
      <c r="B10" s="21">
        <v>42984</v>
      </c>
      <c r="C10" s="91">
        <v>4379.92</v>
      </c>
    </row>
    <row r="11" spans="1:3">
      <c r="A11" s="20" t="s">
        <v>99</v>
      </c>
      <c r="B11" s="21">
        <v>43012</v>
      </c>
      <c r="C11" s="91">
        <v>4379.8599999999997</v>
      </c>
    </row>
    <row r="12" spans="1:3">
      <c r="A12" s="20" t="s">
        <v>99</v>
      </c>
      <c r="B12" s="21">
        <v>43047</v>
      </c>
      <c r="C12" s="91">
        <v>4380.09</v>
      </c>
    </row>
    <row r="13" spans="1:3">
      <c r="A13" s="20" t="s">
        <v>99</v>
      </c>
      <c r="B13" s="93">
        <v>43075</v>
      </c>
      <c r="C13" s="91">
        <v>4377.8599999999997</v>
      </c>
    </row>
    <row r="14" spans="1:3">
      <c r="A14" s="14"/>
      <c r="B14" s="15" t="s">
        <v>100</v>
      </c>
      <c r="C14" s="92">
        <f t="shared" ref="C14" si="0">MIN(C2:C13)</f>
        <v>4377.8599999999997</v>
      </c>
    </row>
    <row r="15" spans="1:3">
      <c r="A15" s="14"/>
      <c r="B15" s="15" t="s">
        <v>101</v>
      </c>
      <c r="C15" s="92">
        <f t="shared" ref="C15" si="1">MAX(C2:C13)</f>
        <v>4380.09</v>
      </c>
    </row>
    <row r="16" spans="1:3">
      <c r="A16" s="14"/>
      <c r="B16" s="15" t="s">
        <v>102</v>
      </c>
      <c r="C16" s="92">
        <f t="shared" ref="C16" si="2">AVERAGE(C2:C13)</f>
        <v>4379.3341666666665</v>
      </c>
    </row>
    <row r="17" spans="1:3">
      <c r="A17" s="14"/>
      <c r="B17" s="15" t="s">
        <v>103</v>
      </c>
      <c r="C17" s="92">
        <f t="shared" ref="C17" si="3">_xlfn.STDEV.P(C2:C13)</f>
        <v>0.61209283518843982</v>
      </c>
    </row>
    <row r="18" spans="1:3" ht="12.75" customHeight="1">
      <c r="A18" s="17"/>
      <c r="B18" s="131" t="s">
        <v>112</v>
      </c>
      <c r="C18" s="130"/>
    </row>
    <row r="19" spans="1:3" ht="12.75" customHeight="1">
      <c r="A19" s="17"/>
      <c r="B19" s="130" t="s">
        <v>117</v>
      </c>
      <c r="C19" s="130"/>
    </row>
    <row r="20" spans="1:3" ht="12.75" customHeight="1"/>
  </sheetData>
  <mergeCells count="2">
    <mergeCell ref="B18:C18"/>
    <mergeCell ref="B19:C19"/>
  </mergeCells>
  <printOptions horizontalCentered="1"/>
  <pageMargins left="0.25" right="0.25" top="1.0833333333333299" bottom="0.75" header="0.3" footer="0.3"/>
  <pageSetup orientation="portrait" r:id="rId1"/>
  <headerFooter alignWithMargins="0">
    <oddHeader>&amp;LBarrick Gold Inc. - Nickel Plate Mine&amp;C&amp;"-,Regular"&amp;18
Table 45 - WELL 1100 Phreatic&amp;RAnnual Report, 2017</oddHead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O374"/>
  <sheetViews>
    <sheetView zoomScaleNormal="100" workbookViewId="0">
      <pane ySplit="2" topLeftCell="A364" activePane="bottomLeft" state="frozen"/>
      <selection activeCell="B33" sqref="B33"/>
      <selection pane="bottomLeft" activeCell="B33" sqref="B33"/>
    </sheetView>
  </sheetViews>
  <sheetFormatPr defaultColWidth="9.1328125" defaultRowHeight="15.75"/>
  <cols>
    <col min="1" max="1" width="11" style="23" bestFit="1" customWidth="1"/>
    <col min="2" max="3" width="8" style="19" bestFit="1" customWidth="1"/>
    <col min="4" max="4" width="12" style="19" bestFit="1" customWidth="1"/>
    <col min="5" max="9" width="9" style="19" bestFit="1" customWidth="1"/>
    <col min="10" max="16384" width="9.1328125" style="19"/>
  </cols>
  <sheetData>
    <row r="1" spans="1:9" s="99" customFormat="1" ht="87.75" customHeight="1">
      <c r="A1" s="94" t="s">
        <v>46</v>
      </c>
      <c r="B1" s="95" t="s">
        <v>8</v>
      </c>
      <c r="C1" s="96" t="s">
        <v>9</v>
      </c>
      <c r="D1" s="97" t="s">
        <v>10</v>
      </c>
      <c r="E1" s="95" t="s">
        <v>124</v>
      </c>
      <c r="F1" s="95" t="s">
        <v>12</v>
      </c>
      <c r="G1" s="98" t="s">
        <v>13</v>
      </c>
      <c r="H1" s="97" t="s">
        <v>14</v>
      </c>
      <c r="I1" s="97" t="s">
        <v>48</v>
      </c>
    </row>
    <row r="2" spans="1:9" ht="18">
      <c r="A2" s="145" t="s">
        <v>123</v>
      </c>
      <c r="B2" s="145"/>
      <c r="C2" s="145"/>
      <c r="D2" s="145"/>
      <c r="E2" s="145"/>
      <c r="F2" s="145"/>
      <c r="G2" s="145"/>
      <c r="H2" s="145"/>
      <c r="I2" s="145"/>
    </row>
    <row r="3" spans="1:9">
      <c r="A3" s="21">
        <v>42736</v>
      </c>
      <c r="B3" s="43">
        <v>24.529468360499997</v>
      </c>
      <c r="C3" s="43">
        <v>42.517745158199993</v>
      </c>
      <c r="D3" s="43">
        <v>42508.799999000737</v>
      </c>
      <c r="E3" s="43">
        <v>0</v>
      </c>
      <c r="F3" s="43">
        <v>0</v>
      </c>
      <c r="G3" s="43">
        <v>0</v>
      </c>
      <c r="H3" s="43">
        <v>113.92575305209998</v>
      </c>
      <c r="I3" s="84" t="s">
        <v>96</v>
      </c>
    </row>
    <row r="4" spans="1:9" ht="15.75" customHeight="1">
      <c r="A4" s="21">
        <v>42737</v>
      </c>
      <c r="B4" s="43">
        <v>23.439269766699997</v>
      </c>
      <c r="C4" s="43">
        <v>45.243241642699999</v>
      </c>
      <c r="D4" s="43">
        <v>42076.799999010902</v>
      </c>
      <c r="E4" s="43">
        <v>0</v>
      </c>
      <c r="F4" s="43">
        <v>0</v>
      </c>
      <c r="G4" s="43">
        <v>0</v>
      </c>
      <c r="H4" s="43">
        <v>112.8355544583</v>
      </c>
      <c r="I4" s="84" t="s">
        <v>96</v>
      </c>
    </row>
    <row r="5" spans="1:9" ht="15.75" customHeight="1">
      <c r="A5" s="21">
        <v>42738</v>
      </c>
      <c r="B5" s="43">
        <v>23.439269766699997</v>
      </c>
      <c r="C5" s="43">
        <v>41.972645861299995</v>
      </c>
      <c r="D5" s="43">
        <v>40175.999999055581</v>
      </c>
      <c r="E5" s="43">
        <v>0</v>
      </c>
      <c r="F5" s="43">
        <v>0</v>
      </c>
      <c r="G5" s="43">
        <v>0</v>
      </c>
      <c r="H5" s="43">
        <v>109.01985937999999</v>
      </c>
      <c r="I5" s="84" t="s">
        <v>96</v>
      </c>
    </row>
    <row r="6" spans="1:9" ht="15.75" customHeight="1">
      <c r="A6" s="21">
        <v>42739</v>
      </c>
      <c r="B6" s="43">
        <v>24.529468360499997</v>
      </c>
      <c r="C6" s="43">
        <v>45.243241642699999</v>
      </c>
      <c r="D6" s="43">
        <v>58665.59999862095</v>
      </c>
      <c r="E6" s="43">
        <v>0</v>
      </c>
      <c r="F6" s="43">
        <v>0</v>
      </c>
      <c r="G6" s="43">
        <v>0</v>
      </c>
      <c r="H6" s="43">
        <v>112.8355544583</v>
      </c>
      <c r="I6" s="84" t="s">
        <v>96</v>
      </c>
    </row>
    <row r="7" spans="1:9" ht="15.75" customHeight="1">
      <c r="A7" s="21">
        <v>42740</v>
      </c>
      <c r="B7" s="43">
        <v>24.529468360499997</v>
      </c>
      <c r="C7" s="43">
        <v>42.517745158199993</v>
      </c>
      <c r="D7" s="43">
        <v>50198.399998819979</v>
      </c>
      <c r="E7" s="43">
        <v>0</v>
      </c>
      <c r="F7" s="43">
        <v>0</v>
      </c>
      <c r="G7" s="43">
        <v>0</v>
      </c>
      <c r="H7" s="43">
        <v>109.56495867690001</v>
      </c>
      <c r="I7" s="84" t="s">
        <v>96</v>
      </c>
    </row>
    <row r="8" spans="1:9" ht="15.75" customHeight="1">
      <c r="A8" s="21">
        <v>42741</v>
      </c>
      <c r="B8" s="43">
        <v>24.529468360499997</v>
      </c>
      <c r="C8" s="43">
        <v>45.243241642699999</v>
      </c>
      <c r="D8" s="43">
        <v>35683.199999161196</v>
      </c>
      <c r="E8" s="43">
        <v>0</v>
      </c>
      <c r="F8" s="43">
        <v>0</v>
      </c>
      <c r="G8" s="43">
        <v>0</v>
      </c>
      <c r="H8" s="43">
        <v>110.6551572707</v>
      </c>
      <c r="I8" s="84" t="s">
        <v>96</v>
      </c>
    </row>
    <row r="9" spans="1:9" ht="15.75" customHeight="1">
      <c r="A9" s="21">
        <v>42742</v>
      </c>
      <c r="B9" s="43">
        <v>24.529468360499997</v>
      </c>
      <c r="C9" s="43">
        <v>44.153043048899995</v>
      </c>
      <c r="D9" s="43">
        <v>35683.199999161196</v>
      </c>
      <c r="E9" s="43">
        <v>0</v>
      </c>
      <c r="F9" s="43">
        <v>0</v>
      </c>
      <c r="G9" s="43">
        <v>0</v>
      </c>
      <c r="H9" s="43">
        <v>114.470852349</v>
      </c>
      <c r="I9" s="84" t="s">
        <v>96</v>
      </c>
    </row>
    <row r="10" spans="1:9" ht="15.75" customHeight="1">
      <c r="A10" s="21">
        <v>42743</v>
      </c>
      <c r="B10" s="43">
        <v>23.439269766699997</v>
      </c>
      <c r="C10" s="43">
        <v>43.607943751999997</v>
      </c>
      <c r="D10" s="43">
        <v>36028.799999153067</v>
      </c>
      <c r="E10" s="43">
        <v>0</v>
      </c>
      <c r="F10" s="43">
        <v>0</v>
      </c>
      <c r="G10" s="43">
        <v>0</v>
      </c>
      <c r="H10" s="43">
        <v>109.01985937999999</v>
      </c>
      <c r="I10" s="84" t="s">
        <v>96</v>
      </c>
    </row>
    <row r="11" spans="1:9" ht="15.75" customHeight="1">
      <c r="A11" s="21">
        <v>42744</v>
      </c>
      <c r="B11" s="43">
        <v>23.439269766699997</v>
      </c>
      <c r="C11" s="43">
        <v>43.607943751999997</v>
      </c>
      <c r="D11" s="43">
        <v>35683.199999161196</v>
      </c>
      <c r="E11" s="43">
        <v>0</v>
      </c>
      <c r="F11" s="43">
        <v>0</v>
      </c>
      <c r="G11" s="43">
        <v>0</v>
      </c>
      <c r="H11" s="43">
        <v>109.01985937999999</v>
      </c>
      <c r="I11" s="84" t="s">
        <v>96</v>
      </c>
    </row>
    <row r="12" spans="1:9" ht="15.75" customHeight="1">
      <c r="A12" s="21">
        <v>42745</v>
      </c>
      <c r="B12" s="43">
        <v>23.439269766699997</v>
      </c>
      <c r="C12" s="43">
        <v>43.607943751999997</v>
      </c>
      <c r="D12" s="43">
        <v>35769.599999159167</v>
      </c>
      <c r="E12" s="43">
        <v>0</v>
      </c>
      <c r="F12" s="43">
        <v>0</v>
      </c>
      <c r="G12" s="43">
        <v>0</v>
      </c>
      <c r="H12" s="43">
        <v>109.01985937999999</v>
      </c>
      <c r="I12" s="84" t="s">
        <v>96</v>
      </c>
    </row>
    <row r="13" spans="1:9" ht="15.75" customHeight="1">
      <c r="A13" s="21">
        <v>42746</v>
      </c>
      <c r="B13" s="43">
        <v>23.984369063599999</v>
      </c>
      <c r="C13" s="43">
        <v>41.972645861299995</v>
      </c>
      <c r="D13" s="43">
        <v>34732.799999183531</v>
      </c>
      <c r="E13" s="43">
        <v>0</v>
      </c>
      <c r="F13" s="43">
        <v>0</v>
      </c>
      <c r="G13" s="43">
        <v>0</v>
      </c>
      <c r="H13" s="43">
        <v>111.7453558645</v>
      </c>
      <c r="I13" s="84" t="s">
        <v>96</v>
      </c>
    </row>
    <row r="14" spans="1:9" ht="15.75" customHeight="1">
      <c r="A14" s="21">
        <v>42747</v>
      </c>
      <c r="B14" s="43">
        <v>22.349071172899997</v>
      </c>
      <c r="C14" s="43">
        <v>41.972645861299995</v>
      </c>
      <c r="D14" s="43">
        <v>31017.599999270871</v>
      </c>
      <c r="E14" s="43">
        <v>0</v>
      </c>
      <c r="F14" s="43">
        <v>0</v>
      </c>
      <c r="G14" s="43">
        <v>0</v>
      </c>
      <c r="H14" s="43">
        <v>110.11005797379998</v>
      </c>
      <c r="I14" s="84" t="s">
        <v>96</v>
      </c>
    </row>
    <row r="15" spans="1:9" ht="15.75" customHeight="1">
      <c r="A15" s="21">
        <v>42748</v>
      </c>
      <c r="B15" s="43">
        <v>22.349071172899997</v>
      </c>
      <c r="C15" s="43">
        <v>41.427546564399996</v>
      </c>
      <c r="D15" s="43">
        <v>28771.199999323671</v>
      </c>
      <c r="E15" s="43">
        <v>0</v>
      </c>
      <c r="F15" s="43">
        <v>0</v>
      </c>
      <c r="G15" s="43">
        <v>0</v>
      </c>
      <c r="H15" s="43">
        <v>110.6551572707</v>
      </c>
      <c r="I15" s="84" t="s">
        <v>96</v>
      </c>
    </row>
    <row r="16" spans="1:9" ht="15.75" customHeight="1">
      <c r="A16" s="21">
        <v>42749</v>
      </c>
      <c r="B16" s="43">
        <v>22.894170469799999</v>
      </c>
      <c r="C16" s="43">
        <v>41.972645861299995</v>
      </c>
      <c r="D16" s="43">
        <v>28771.199999323671</v>
      </c>
      <c r="E16" s="43">
        <v>0</v>
      </c>
      <c r="F16" s="43">
        <v>0</v>
      </c>
      <c r="G16" s="43">
        <v>0</v>
      </c>
      <c r="H16" s="43">
        <v>106.83946219240001</v>
      </c>
      <c r="I16" s="84" t="s">
        <v>96</v>
      </c>
    </row>
    <row r="17" spans="1:9" ht="15.75" customHeight="1">
      <c r="A17" s="21">
        <v>42750</v>
      </c>
      <c r="B17" s="43">
        <v>22.349071172899997</v>
      </c>
      <c r="C17" s="43">
        <v>42.517745158199993</v>
      </c>
      <c r="D17" s="43">
        <v>30067.199999293211</v>
      </c>
      <c r="E17" s="43">
        <v>0</v>
      </c>
      <c r="F17" s="43">
        <v>0</v>
      </c>
      <c r="G17" s="43">
        <v>0</v>
      </c>
      <c r="H17" s="43">
        <v>111.7453558645</v>
      </c>
      <c r="I17" s="84" t="s">
        <v>96</v>
      </c>
    </row>
    <row r="18" spans="1:9" ht="15.75" customHeight="1">
      <c r="A18" s="21">
        <v>42751</v>
      </c>
      <c r="B18" s="43">
        <v>22.349071172899997</v>
      </c>
      <c r="C18" s="43">
        <v>42.517745158199993</v>
      </c>
      <c r="D18" s="43">
        <v>30671.999999278989</v>
      </c>
      <c r="E18" s="43">
        <v>0</v>
      </c>
      <c r="F18" s="43">
        <v>0</v>
      </c>
      <c r="G18" s="43">
        <v>0</v>
      </c>
      <c r="H18" s="43">
        <v>109.01985937999999</v>
      </c>
      <c r="I18" s="84" t="s">
        <v>96</v>
      </c>
    </row>
    <row r="19" spans="1:9" ht="15.75" customHeight="1">
      <c r="A19" s="21">
        <v>42752</v>
      </c>
      <c r="B19" s="43">
        <v>22.894170469799999</v>
      </c>
      <c r="C19" s="43">
        <v>43.607943751999997</v>
      </c>
      <c r="D19" s="43">
        <v>31622.39999925665</v>
      </c>
      <c r="E19" s="43">
        <v>0</v>
      </c>
      <c r="F19" s="43">
        <v>0</v>
      </c>
      <c r="G19" s="43">
        <v>0</v>
      </c>
      <c r="H19" s="43">
        <v>112.2904551614</v>
      </c>
      <c r="I19" s="84" t="s">
        <v>96</v>
      </c>
    </row>
    <row r="20" spans="1:9" ht="15.75" customHeight="1">
      <c r="A20" s="21">
        <v>42753</v>
      </c>
      <c r="B20" s="43">
        <v>22.894170469799999</v>
      </c>
      <c r="C20" s="43">
        <v>43.062844455099999</v>
      </c>
      <c r="D20" s="43">
        <v>32659.199999232278</v>
      </c>
      <c r="E20" s="43">
        <v>0</v>
      </c>
      <c r="F20" s="43">
        <v>0</v>
      </c>
      <c r="G20" s="43">
        <v>0</v>
      </c>
      <c r="H20" s="43">
        <v>110.6551572707</v>
      </c>
      <c r="I20" s="84" t="s">
        <v>96</v>
      </c>
    </row>
    <row r="21" spans="1:9" ht="15.75" customHeight="1">
      <c r="A21" s="21">
        <v>42754</v>
      </c>
      <c r="B21" s="43">
        <v>23.439269766699997</v>
      </c>
      <c r="C21" s="43">
        <v>43.062844455099999</v>
      </c>
      <c r="D21" s="43">
        <v>33695.999999207903</v>
      </c>
      <c r="E21" s="43">
        <v>0</v>
      </c>
      <c r="F21" s="43">
        <v>0</v>
      </c>
      <c r="G21" s="43">
        <v>0</v>
      </c>
      <c r="H21" s="43">
        <v>111.20025656759998</v>
      </c>
      <c r="I21" s="84" t="s">
        <v>96</v>
      </c>
    </row>
    <row r="22" spans="1:9" ht="15.75" customHeight="1">
      <c r="A22" s="21">
        <v>42755</v>
      </c>
      <c r="B22" s="43">
        <v>22.349071172899997</v>
      </c>
      <c r="C22" s="43">
        <v>45.243241642699999</v>
      </c>
      <c r="D22" s="43">
        <v>34387.199999191653</v>
      </c>
      <c r="E22" s="43">
        <v>0</v>
      </c>
      <c r="F22" s="43">
        <v>0</v>
      </c>
      <c r="G22" s="43">
        <v>0</v>
      </c>
      <c r="H22" s="43">
        <v>112.2904551614</v>
      </c>
      <c r="I22" s="84" t="s">
        <v>96</v>
      </c>
    </row>
    <row r="23" spans="1:9" ht="15.75" customHeight="1">
      <c r="A23" s="21">
        <v>42756</v>
      </c>
      <c r="B23" s="43">
        <v>22.349071172899997</v>
      </c>
      <c r="C23" s="43">
        <v>45.243241642699999</v>
      </c>
      <c r="D23" s="43">
        <v>34387.199999191653</v>
      </c>
      <c r="E23" s="43">
        <v>0</v>
      </c>
      <c r="F23" s="43">
        <v>0</v>
      </c>
      <c r="G23" s="43">
        <v>0</v>
      </c>
      <c r="H23" s="43">
        <v>112.2904551614</v>
      </c>
      <c r="I23" s="84" t="s">
        <v>96</v>
      </c>
    </row>
    <row r="24" spans="1:9" ht="15.75" customHeight="1">
      <c r="A24" s="21">
        <v>42757</v>
      </c>
      <c r="B24" s="43">
        <v>22.349071172899997</v>
      </c>
      <c r="C24" s="43">
        <v>45.243241642699999</v>
      </c>
      <c r="D24" s="43">
        <v>35078.39999917541</v>
      </c>
      <c r="E24" s="43">
        <v>0</v>
      </c>
      <c r="F24" s="43">
        <v>0</v>
      </c>
      <c r="G24" s="43">
        <v>0</v>
      </c>
      <c r="H24" s="43">
        <v>112.2904551614</v>
      </c>
      <c r="I24" s="84" t="s">
        <v>96</v>
      </c>
    </row>
    <row r="25" spans="1:9" ht="15.75" customHeight="1">
      <c r="A25" s="21">
        <v>42758</v>
      </c>
      <c r="B25" s="43">
        <v>22.349071172899997</v>
      </c>
      <c r="C25" s="43">
        <v>45.243241642699999</v>
      </c>
      <c r="D25" s="43">
        <v>35078.39999917541</v>
      </c>
      <c r="E25" s="43">
        <v>0</v>
      </c>
      <c r="F25" s="43">
        <v>0</v>
      </c>
      <c r="G25" s="43">
        <v>0</v>
      </c>
      <c r="H25" s="43">
        <v>112.2904551614</v>
      </c>
      <c r="I25" s="84" t="s">
        <v>96</v>
      </c>
    </row>
    <row r="26" spans="1:9" ht="15.75" customHeight="1">
      <c r="A26" s="21">
        <v>42759</v>
      </c>
      <c r="B26" s="43">
        <v>22.349071172899997</v>
      </c>
      <c r="C26" s="43">
        <v>45.243241642699999</v>
      </c>
      <c r="D26" s="43">
        <v>34732.799999183531</v>
      </c>
      <c r="E26" s="43">
        <v>0</v>
      </c>
      <c r="F26" s="43">
        <v>0</v>
      </c>
      <c r="G26" s="43">
        <v>0</v>
      </c>
      <c r="H26" s="43">
        <v>112.2904551614</v>
      </c>
      <c r="I26" s="84" t="s">
        <v>96</v>
      </c>
    </row>
    <row r="27" spans="1:9" ht="15.75" customHeight="1">
      <c r="A27" s="21">
        <v>42760</v>
      </c>
      <c r="B27" s="43">
        <v>22.349071172899997</v>
      </c>
      <c r="C27" s="43">
        <v>45.243241642699999</v>
      </c>
      <c r="D27" s="43">
        <v>34732.799999183531</v>
      </c>
      <c r="E27" s="43">
        <v>0</v>
      </c>
      <c r="F27" s="43">
        <v>0</v>
      </c>
      <c r="G27" s="43">
        <v>0</v>
      </c>
      <c r="H27" s="43">
        <v>112.2904551614</v>
      </c>
      <c r="I27" s="84" t="s">
        <v>96</v>
      </c>
    </row>
    <row r="28" spans="1:9" ht="15.75" customHeight="1">
      <c r="A28" s="21">
        <v>42761</v>
      </c>
      <c r="B28" s="43">
        <v>22.349071172899997</v>
      </c>
      <c r="C28" s="43">
        <v>45.243241642699999</v>
      </c>
      <c r="D28" s="43">
        <v>34387.199999191653</v>
      </c>
      <c r="E28" s="43">
        <v>0</v>
      </c>
      <c r="F28" s="43">
        <v>0</v>
      </c>
      <c r="G28" s="43">
        <v>0</v>
      </c>
      <c r="H28" s="43">
        <v>112.2904551614</v>
      </c>
      <c r="I28" s="84" t="s">
        <v>96</v>
      </c>
    </row>
    <row r="29" spans="1:9" ht="15.75" customHeight="1">
      <c r="A29" s="21">
        <v>42762</v>
      </c>
      <c r="B29" s="43">
        <v>22.349071172899997</v>
      </c>
      <c r="C29" s="43">
        <v>45.243241642699999</v>
      </c>
      <c r="D29" s="43">
        <v>33350.399999216032</v>
      </c>
      <c r="E29" s="43">
        <v>0</v>
      </c>
      <c r="F29" s="43">
        <v>0</v>
      </c>
      <c r="G29" s="43">
        <v>0</v>
      </c>
      <c r="H29" s="43">
        <v>112.2904551614</v>
      </c>
      <c r="I29" s="84" t="s">
        <v>96</v>
      </c>
    </row>
    <row r="30" spans="1:9" ht="15.75" customHeight="1">
      <c r="A30" s="21">
        <v>42763</v>
      </c>
      <c r="B30" s="43">
        <v>22.349071172899997</v>
      </c>
      <c r="C30" s="43">
        <v>45.243241642699999</v>
      </c>
      <c r="D30" s="43">
        <v>33350.399999216032</v>
      </c>
      <c r="E30" s="43">
        <v>0</v>
      </c>
      <c r="F30" s="43">
        <v>0</v>
      </c>
      <c r="G30" s="43">
        <v>0</v>
      </c>
      <c r="H30" s="43">
        <v>112.2904551614</v>
      </c>
      <c r="I30" s="84" t="s">
        <v>96</v>
      </c>
    </row>
    <row r="31" spans="1:9" ht="15.75" customHeight="1">
      <c r="A31" s="21">
        <v>42764</v>
      </c>
      <c r="B31" s="43">
        <v>22.349071172899997</v>
      </c>
      <c r="C31" s="43">
        <v>45.243241642699999</v>
      </c>
      <c r="D31" s="43">
        <v>33004.799999224153</v>
      </c>
      <c r="E31" s="43">
        <v>0</v>
      </c>
      <c r="F31" s="43">
        <v>0</v>
      </c>
      <c r="G31" s="43">
        <v>0</v>
      </c>
      <c r="H31" s="43">
        <v>112.2904551614</v>
      </c>
      <c r="I31" s="84" t="s">
        <v>96</v>
      </c>
    </row>
    <row r="32" spans="1:9" ht="15.75" customHeight="1">
      <c r="A32" s="21">
        <v>42765</v>
      </c>
      <c r="B32" s="43">
        <v>22.349071172899997</v>
      </c>
      <c r="C32" s="43">
        <v>45.243241642699999</v>
      </c>
      <c r="D32" s="43">
        <v>33004.799999224153</v>
      </c>
      <c r="E32" s="43">
        <v>0</v>
      </c>
      <c r="F32" s="43">
        <v>0</v>
      </c>
      <c r="G32" s="43">
        <v>0</v>
      </c>
      <c r="H32" s="43">
        <v>112.2904551614</v>
      </c>
      <c r="I32" s="84" t="s">
        <v>96</v>
      </c>
    </row>
    <row r="33" spans="1:9" ht="15.75" customHeight="1">
      <c r="A33" s="21">
        <v>42766</v>
      </c>
      <c r="B33" s="43">
        <v>22.349071172899997</v>
      </c>
      <c r="C33" s="43">
        <v>45.243241642699999</v>
      </c>
      <c r="D33" s="43">
        <v>32313.599999240403</v>
      </c>
      <c r="E33" s="43">
        <v>0</v>
      </c>
      <c r="F33" s="43">
        <v>0</v>
      </c>
      <c r="G33" s="43">
        <v>0</v>
      </c>
      <c r="H33" s="43">
        <v>112.2904551614</v>
      </c>
      <c r="I33" s="84" t="s">
        <v>96</v>
      </c>
    </row>
    <row r="34" spans="1:9" ht="15.75" customHeight="1">
      <c r="A34" s="21">
        <v>42767</v>
      </c>
      <c r="B34" s="43">
        <v>22.349071172899997</v>
      </c>
      <c r="C34" s="43">
        <v>45.243241642699999</v>
      </c>
      <c r="D34" s="43">
        <v>30671.999999278989</v>
      </c>
      <c r="E34" s="43">
        <v>0</v>
      </c>
      <c r="F34" s="43">
        <v>0</v>
      </c>
      <c r="G34" s="43">
        <v>0</v>
      </c>
      <c r="H34" s="43">
        <v>112.2904551614</v>
      </c>
      <c r="I34" s="84" t="s">
        <v>96</v>
      </c>
    </row>
    <row r="35" spans="1:9" ht="15.75" customHeight="1">
      <c r="A35" s="21">
        <v>42768</v>
      </c>
      <c r="B35" s="43">
        <v>22.349071172899997</v>
      </c>
      <c r="C35" s="43">
        <v>45.243241642699999</v>
      </c>
      <c r="D35" s="43">
        <v>39398.399999073859</v>
      </c>
      <c r="E35" s="43">
        <v>0</v>
      </c>
      <c r="F35" s="43">
        <v>0</v>
      </c>
      <c r="G35" s="43">
        <v>0</v>
      </c>
      <c r="H35" s="43">
        <v>112.2904551614</v>
      </c>
      <c r="I35" s="84" t="s">
        <v>96</v>
      </c>
    </row>
    <row r="36" spans="1:9" ht="15.75" customHeight="1">
      <c r="A36" s="21">
        <v>42769</v>
      </c>
      <c r="B36" s="43">
        <v>22.349071172899997</v>
      </c>
      <c r="C36" s="43">
        <v>45.243241642699999</v>
      </c>
      <c r="D36" s="43">
        <v>34041.599999199781</v>
      </c>
      <c r="E36" s="43">
        <v>0</v>
      </c>
      <c r="F36" s="43">
        <v>0</v>
      </c>
      <c r="G36" s="43">
        <v>0</v>
      </c>
      <c r="H36" s="43">
        <v>112.2904551614</v>
      </c>
      <c r="I36" s="84" t="s">
        <v>96</v>
      </c>
    </row>
    <row r="37" spans="1:9" ht="15.75" customHeight="1">
      <c r="A37" s="21">
        <v>42770</v>
      </c>
      <c r="B37" s="43">
        <v>22.349071172899997</v>
      </c>
      <c r="C37" s="43">
        <v>45.243241642699999</v>
      </c>
      <c r="D37" s="43">
        <v>31017.599999270871</v>
      </c>
      <c r="E37" s="43">
        <v>0</v>
      </c>
      <c r="F37" s="43">
        <v>0</v>
      </c>
      <c r="G37" s="43">
        <v>0</v>
      </c>
      <c r="H37" s="43">
        <v>112.2904551614</v>
      </c>
      <c r="I37" s="84" t="s">
        <v>96</v>
      </c>
    </row>
    <row r="38" spans="1:9" ht="15.75" customHeight="1">
      <c r="A38" s="21">
        <v>42771</v>
      </c>
      <c r="B38" s="43">
        <v>37.611851486100001</v>
      </c>
      <c r="C38" s="43">
        <v>43.062844455099999</v>
      </c>
      <c r="D38" s="43">
        <v>26956.799999366322</v>
      </c>
      <c r="E38" s="43">
        <v>0</v>
      </c>
      <c r="F38" s="43">
        <v>0</v>
      </c>
      <c r="G38" s="43">
        <v>0</v>
      </c>
      <c r="H38" s="43">
        <v>105.74926359859998</v>
      </c>
      <c r="I38" s="84" t="s">
        <v>96</v>
      </c>
    </row>
    <row r="39" spans="1:9" ht="15.75" customHeight="1">
      <c r="A39" s="21">
        <v>42772</v>
      </c>
      <c r="B39" s="43">
        <v>22.349071172899997</v>
      </c>
      <c r="C39" s="43">
        <v>45.243241642699999</v>
      </c>
      <c r="D39" s="43">
        <v>27907.199999343982</v>
      </c>
      <c r="E39" s="43">
        <v>0</v>
      </c>
      <c r="F39" s="43">
        <v>0</v>
      </c>
      <c r="G39" s="43">
        <v>0</v>
      </c>
      <c r="H39" s="43">
        <v>112.2904551614</v>
      </c>
      <c r="I39" s="84" t="s">
        <v>96</v>
      </c>
    </row>
    <row r="40" spans="1:9" ht="15.75" customHeight="1">
      <c r="A40" s="21">
        <v>42773</v>
      </c>
      <c r="B40" s="43">
        <v>23.984369063599999</v>
      </c>
      <c r="C40" s="43">
        <v>50.149135314799992</v>
      </c>
      <c r="D40" s="43">
        <v>27302.399999358204</v>
      </c>
      <c r="E40" s="43">
        <v>0</v>
      </c>
      <c r="F40" s="43">
        <v>0</v>
      </c>
      <c r="G40" s="43">
        <v>0</v>
      </c>
      <c r="H40" s="43">
        <v>116.65124953659999</v>
      </c>
      <c r="I40" s="84" t="s">
        <v>96</v>
      </c>
    </row>
    <row r="41" spans="1:9" ht="15.75" customHeight="1">
      <c r="A41" s="21">
        <v>42774</v>
      </c>
      <c r="B41" s="43">
        <v>21.803971875999999</v>
      </c>
      <c r="C41" s="43">
        <v>112.2904551614</v>
      </c>
      <c r="D41" s="43">
        <v>27302.399999358204</v>
      </c>
      <c r="E41" s="43">
        <v>0</v>
      </c>
      <c r="F41" s="43">
        <v>0</v>
      </c>
      <c r="G41" s="43">
        <v>0</v>
      </c>
      <c r="H41" s="43">
        <v>106.29436289549999</v>
      </c>
      <c r="I41" s="84" t="s">
        <v>96</v>
      </c>
    </row>
    <row r="42" spans="1:9" ht="15.75" customHeight="1">
      <c r="A42" s="21">
        <v>42775</v>
      </c>
      <c r="B42" s="43">
        <v>22.349071172899997</v>
      </c>
      <c r="C42" s="43">
        <v>45.243241642699999</v>
      </c>
      <c r="D42" s="43">
        <v>27561.599999352107</v>
      </c>
      <c r="E42" s="43">
        <v>0</v>
      </c>
      <c r="F42" s="43">
        <v>0</v>
      </c>
      <c r="G42" s="43">
        <v>0</v>
      </c>
      <c r="H42" s="43">
        <v>112.2904551614</v>
      </c>
      <c r="I42" s="84" t="s">
        <v>96</v>
      </c>
    </row>
    <row r="43" spans="1:9" ht="15.75" customHeight="1">
      <c r="A43" s="21">
        <v>42776</v>
      </c>
      <c r="B43" s="43">
        <v>22.349071172899997</v>
      </c>
      <c r="C43" s="43">
        <v>41.427546564399996</v>
      </c>
      <c r="D43" s="43">
        <v>27907.199999343982</v>
      </c>
      <c r="E43" s="43">
        <v>0</v>
      </c>
      <c r="F43" s="43">
        <v>0</v>
      </c>
      <c r="G43" s="43">
        <v>0</v>
      </c>
      <c r="H43" s="43">
        <v>109.01985937999999</v>
      </c>
      <c r="I43" s="84" t="s">
        <v>96</v>
      </c>
    </row>
    <row r="44" spans="1:9" ht="15.75" customHeight="1">
      <c r="A44" s="21">
        <v>42777</v>
      </c>
      <c r="B44" s="43">
        <v>21.803971875999999</v>
      </c>
      <c r="C44" s="43">
        <v>43.062844455099999</v>
      </c>
      <c r="D44" s="43">
        <v>28511.999999329768</v>
      </c>
      <c r="E44" s="43">
        <v>0</v>
      </c>
      <c r="F44" s="43">
        <v>0</v>
      </c>
      <c r="G44" s="43">
        <v>0</v>
      </c>
      <c r="H44" s="43">
        <v>107.9296607862</v>
      </c>
      <c r="I44" s="84" t="s">
        <v>96</v>
      </c>
    </row>
    <row r="45" spans="1:9" ht="15.75" customHeight="1">
      <c r="A45" s="21">
        <v>42778</v>
      </c>
      <c r="B45" s="43">
        <v>21.803971875999999</v>
      </c>
      <c r="C45" s="43">
        <v>43.062844455099999</v>
      </c>
      <c r="D45" s="43">
        <v>28771.199999323671</v>
      </c>
      <c r="E45" s="43">
        <v>0</v>
      </c>
      <c r="F45" s="43">
        <v>0</v>
      </c>
      <c r="G45" s="43">
        <v>0</v>
      </c>
      <c r="H45" s="43">
        <v>107.9296607862</v>
      </c>
      <c r="I45" s="84" t="s">
        <v>96</v>
      </c>
    </row>
    <row r="46" spans="1:9" ht="15.75" customHeight="1">
      <c r="A46" s="21">
        <v>42779</v>
      </c>
      <c r="B46" s="43">
        <v>21.803971875999999</v>
      </c>
      <c r="C46" s="43">
        <v>41.972645861299995</v>
      </c>
      <c r="D46" s="43">
        <v>28166.399999337893</v>
      </c>
      <c r="E46" s="43">
        <v>0</v>
      </c>
      <c r="F46" s="43">
        <v>0</v>
      </c>
      <c r="G46" s="43">
        <v>0</v>
      </c>
      <c r="H46" s="43">
        <v>109.56495867690001</v>
      </c>
      <c r="I46" s="84" t="s">
        <v>96</v>
      </c>
    </row>
    <row r="47" spans="1:9" ht="15.75" customHeight="1">
      <c r="A47" s="21">
        <v>42780</v>
      </c>
      <c r="B47" s="43">
        <v>21.803971875999999</v>
      </c>
      <c r="C47" s="43">
        <v>45.788340939599998</v>
      </c>
      <c r="D47" s="43">
        <v>28166.399999337893</v>
      </c>
      <c r="E47" s="43">
        <v>0</v>
      </c>
      <c r="F47" s="43">
        <v>0</v>
      </c>
      <c r="G47" s="43">
        <v>0</v>
      </c>
      <c r="H47" s="43">
        <v>110.6551572707</v>
      </c>
      <c r="I47" s="84" t="s">
        <v>96</v>
      </c>
    </row>
    <row r="48" spans="1:9" ht="15.75" customHeight="1">
      <c r="A48" s="21">
        <v>42781</v>
      </c>
      <c r="B48" s="43">
        <v>22.349071172899997</v>
      </c>
      <c r="C48" s="43">
        <v>44.153043048899995</v>
      </c>
      <c r="D48" s="43">
        <v>24019.199999435379</v>
      </c>
      <c r="E48" s="43">
        <v>0</v>
      </c>
      <c r="F48" s="43">
        <v>0</v>
      </c>
      <c r="G48" s="43">
        <v>0</v>
      </c>
      <c r="H48" s="43">
        <v>109.56495867690001</v>
      </c>
      <c r="I48" s="84" t="s">
        <v>96</v>
      </c>
    </row>
    <row r="49" spans="1:9" ht="15.75" customHeight="1">
      <c r="A49" s="21">
        <v>42782</v>
      </c>
      <c r="B49" s="43">
        <v>22.349071172899997</v>
      </c>
      <c r="C49" s="43">
        <v>41.972645861299995</v>
      </c>
      <c r="D49" s="43">
        <v>24537.599999423193</v>
      </c>
      <c r="E49" s="43">
        <v>0</v>
      </c>
      <c r="F49" s="43">
        <v>0</v>
      </c>
      <c r="G49" s="43">
        <v>0</v>
      </c>
      <c r="H49" s="43">
        <v>108.47476008309998</v>
      </c>
      <c r="I49" s="84" t="s">
        <v>96</v>
      </c>
    </row>
    <row r="50" spans="1:9" ht="15.75" customHeight="1">
      <c r="A50" s="21">
        <v>42783</v>
      </c>
      <c r="B50" s="43">
        <v>22.349071172899997</v>
      </c>
      <c r="C50" s="43">
        <v>44.698142345799994</v>
      </c>
      <c r="D50" s="43">
        <v>24019.199999435379</v>
      </c>
      <c r="E50" s="43">
        <v>0</v>
      </c>
      <c r="F50" s="43">
        <v>0</v>
      </c>
      <c r="G50" s="43">
        <v>0</v>
      </c>
      <c r="H50" s="43">
        <v>109.56495867690001</v>
      </c>
      <c r="I50" s="84" t="s">
        <v>96</v>
      </c>
    </row>
    <row r="51" spans="1:9" ht="15.75" customHeight="1">
      <c r="A51" s="21">
        <v>42784</v>
      </c>
      <c r="B51" s="43">
        <v>21.803971875999999</v>
      </c>
      <c r="C51" s="43">
        <v>37.611851486100001</v>
      </c>
      <c r="D51" s="43">
        <v>24278.399999429286</v>
      </c>
      <c r="E51" s="43">
        <v>0</v>
      </c>
      <c r="F51" s="43">
        <v>0</v>
      </c>
      <c r="G51" s="43">
        <v>0</v>
      </c>
      <c r="H51" s="43">
        <v>109.56495867690001</v>
      </c>
      <c r="I51" s="84" t="s">
        <v>96</v>
      </c>
    </row>
    <row r="52" spans="1:9" ht="15.75" customHeight="1">
      <c r="A52" s="21">
        <v>42785</v>
      </c>
      <c r="B52" s="43">
        <v>21.803971875999999</v>
      </c>
      <c r="C52" s="43">
        <v>39.792248673699994</v>
      </c>
      <c r="D52" s="43">
        <v>24710.399999419129</v>
      </c>
      <c r="E52" s="43">
        <v>0</v>
      </c>
      <c r="F52" s="43">
        <v>0</v>
      </c>
      <c r="G52" s="43">
        <v>0</v>
      </c>
      <c r="H52" s="43">
        <v>109.01985937999999</v>
      </c>
      <c r="I52" s="84" t="s">
        <v>96</v>
      </c>
    </row>
    <row r="53" spans="1:9" ht="15.75" customHeight="1">
      <c r="A53" s="21">
        <v>42786</v>
      </c>
      <c r="B53" s="43">
        <v>21.803971875999999</v>
      </c>
      <c r="C53" s="43">
        <v>34.886355001600002</v>
      </c>
      <c r="D53" s="43">
        <v>25228.799999406943</v>
      </c>
      <c r="E53" s="43">
        <v>0</v>
      </c>
      <c r="F53" s="43">
        <v>0</v>
      </c>
      <c r="G53" s="43">
        <v>0</v>
      </c>
      <c r="H53" s="43">
        <v>109.01985937999999</v>
      </c>
      <c r="I53" s="84" t="s">
        <v>96</v>
      </c>
    </row>
    <row r="54" spans="1:9" ht="15.75" customHeight="1">
      <c r="A54" s="21">
        <v>42787</v>
      </c>
      <c r="B54" s="43">
        <v>21.803971875999999</v>
      </c>
      <c r="C54" s="43">
        <v>41.427546564399996</v>
      </c>
      <c r="D54" s="43">
        <v>24969.59999941304</v>
      </c>
      <c r="E54" s="43">
        <v>0</v>
      </c>
      <c r="F54" s="43">
        <v>0</v>
      </c>
      <c r="G54" s="43">
        <v>0</v>
      </c>
      <c r="H54" s="43">
        <v>108.47476008309998</v>
      </c>
      <c r="I54" s="84" t="s">
        <v>96</v>
      </c>
    </row>
    <row r="55" spans="1:9" ht="15.75" customHeight="1">
      <c r="A55" s="21">
        <v>42788</v>
      </c>
      <c r="B55" s="43">
        <v>21.803971875999999</v>
      </c>
      <c r="C55" s="43">
        <v>40.882447267499998</v>
      </c>
      <c r="D55" s="43">
        <v>24278.399999429286</v>
      </c>
      <c r="E55" s="43">
        <v>0</v>
      </c>
      <c r="F55" s="43">
        <v>0</v>
      </c>
      <c r="G55" s="43">
        <v>0</v>
      </c>
      <c r="H55" s="43">
        <v>109.56495867690001</v>
      </c>
      <c r="I55" s="84" t="s">
        <v>96</v>
      </c>
    </row>
    <row r="56" spans="1:9" ht="15.75" customHeight="1">
      <c r="A56" s="21">
        <v>42789</v>
      </c>
      <c r="B56" s="43">
        <v>21.803971875999999</v>
      </c>
      <c r="C56" s="43">
        <v>41.427546564399996</v>
      </c>
      <c r="D56" s="43">
        <v>22895.999999461779</v>
      </c>
      <c r="E56" s="43">
        <v>0</v>
      </c>
      <c r="F56" s="43">
        <v>0</v>
      </c>
      <c r="G56" s="43">
        <v>0</v>
      </c>
      <c r="H56" s="43">
        <v>106.29436289549999</v>
      </c>
      <c r="I56" s="84" t="s">
        <v>96</v>
      </c>
    </row>
    <row r="57" spans="1:9" ht="15.75" customHeight="1">
      <c r="A57" s="21">
        <v>42790</v>
      </c>
      <c r="B57" s="43">
        <v>22.349071172899997</v>
      </c>
      <c r="C57" s="43">
        <v>43.062844455099999</v>
      </c>
      <c r="D57" s="43">
        <v>22636.799999467876</v>
      </c>
      <c r="E57" s="43">
        <v>0</v>
      </c>
      <c r="F57" s="43">
        <v>0</v>
      </c>
      <c r="G57" s="43">
        <v>0</v>
      </c>
      <c r="H57" s="43">
        <v>106.83946219240001</v>
      </c>
      <c r="I57" s="84" t="s">
        <v>96</v>
      </c>
    </row>
    <row r="58" spans="1:9" ht="15.75" customHeight="1">
      <c r="A58" s="21">
        <v>42791</v>
      </c>
      <c r="B58" s="43">
        <v>21.803971875999999</v>
      </c>
      <c r="C58" s="43">
        <v>44.153043048899995</v>
      </c>
      <c r="D58" s="43">
        <v>21686.399999490219</v>
      </c>
      <c r="E58" s="43">
        <v>0</v>
      </c>
      <c r="F58" s="43">
        <v>0</v>
      </c>
      <c r="G58" s="43">
        <v>0</v>
      </c>
      <c r="H58" s="43">
        <v>107.9296607862</v>
      </c>
      <c r="I58" s="84" t="s">
        <v>96</v>
      </c>
    </row>
    <row r="59" spans="1:9" ht="15.75" customHeight="1">
      <c r="A59" s="21">
        <v>42792</v>
      </c>
      <c r="B59" s="43">
        <v>21.803971875999999</v>
      </c>
      <c r="C59" s="43">
        <v>46.333440236499996</v>
      </c>
      <c r="D59" s="43">
        <v>22118.399999480062</v>
      </c>
      <c r="E59" s="43">
        <v>0</v>
      </c>
      <c r="F59" s="43">
        <v>0</v>
      </c>
      <c r="G59" s="43">
        <v>0</v>
      </c>
      <c r="H59" s="43">
        <v>110.6551572707</v>
      </c>
      <c r="I59" s="84" t="s">
        <v>96</v>
      </c>
    </row>
    <row r="60" spans="1:9" ht="15.75" customHeight="1">
      <c r="A60" s="21">
        <v>42793</v>
      </c>
      <c r="B60" s="43">
        <v>21.803971875999999</v>
      </c>
      <c r="C60" s="43">
        <v>46.333440236499996</v>
      </c>
      <c r="D60" s="43">
        <v>21340.79999949834</v>
      </c>
      <c r="E60" s="43">
        <v>0</v>
      </c>
      <c r="F60" s="43">
        <v>0</v>
      </c>
      <c r="G60" s="43">
        <v>0</v>
      </c>
      <c r="H60" s="43">
        <v>110.6551572707</v>
      </c>
      <c r="I60" s="84" t="s">
        <v>96</v>
      </c>
    </row>
    <row r="61" spans="1:9" ht="15.75" customHeight="1">
      <c r="A61" s="21">
        <v>42794</v>
      </c>
      <c r="B61" s="43">
        <v>20.713773282199998</v>
      </c>
      <c r="C61" s="43">
        <v>44.153043048899995</v>
      </c>
      <c r="D61" s="43">
        <v>22118.399999480062</v>
      </c>
      <c r="E61" s="43">
        <v>0</v>
      </c>
      <c r="F61" s="43">
        <v>0</v>
      </c>
      <c r="G61" s="43">
        <v>0</v>
      </c>
      <c r="H61" s="43">
        <v>107.38456148929998</v>
      </c>
      <c r="I61" s="84" t="s">
        <v>96</v>
      </c>
    </row>
    <row r="62" spans="1:9" ht="15.75" customHeight="1">
      <c r="A62" s="21">
        <v>42795</v>
      </c>
      <c r="B62" s="43" t="s">
        <v>127</v>
      </c>
      <c r="C62" s="43" t="s">
        <v>127</v>
      </c>
      <c r="D62" s="43">
        <v>21686.399999490219</v>
      </c>
      <c r="E62" s="43">
        <v>0</v>
      </c>
      <c r="F62" s="43">
        <v>0</v>
      </c>
      <c r="G62" s="43">
        <v>0</v>
      </c>
      <c r="H62" s="43" t="s">
        <v>127</v>
      </c>
      <c r="I62" s="84" t="s">
        <v>96</v>
      </c>
    </row>
    <row r="63" spans="1:9" ht="15.75" customHeight="1">
      <c r="A63" s="21">
        <v>42796</v>
      </c>
      <c r="B63" s="43">
        <v>42.517745158199993</v>
      </c>
      <c r="C63" s="43">
        <v>94.302178363699994</v>
      </c>
      <c r="D63" s="43">
        <v>20822.399999510526</v>
      </c>
      <c r="E63" s="43">
        <v>0</v>
      </c>
      <c r="F63" s="43">
        <v>0</v>
      </c>
      <c r="G63" s="43">
        <v>0</v>
      </c>
      <c r="H63" s="43">
        <v>214.22402368169998</v>
      </c>
      <c r="I63" s="84" t="s">
        <v>96</v>
      </c>
    </row>
    <row r="64" spans="1:9" ht="15.75" customHeight="1">
      <c r="A64" s="21">
        <v>42797</v>
      </c>
      <c r="B64" s="43">
        <v>21.258872579099997</v>
      </c>
      <c r="C64" s="43">
        <v>40.882447267499998</v>
      </c>
      <c r="D64" s="43">
        <v>21513.599999494279</v>
      </c>
      <c r="E64" s="43">
        <v>0</v>
      </c>
      <c r="F64" s="43">
        <v>0</v>
      </c>
      <c r="G64" s="43">
        <v>0</v>
      </c>
      <c r="H64" s="43">
        <v>110.6551572707</v>
      </c>
      <c r="I64" s="84" t="s">
        <v>96</v>
      </c>
    </row>
    <row r="65" spans="1:9" ht="15.75" customHeight="1">
      <c r="A65" s="21">
        <v>42798</v>
      </c>
      <c r="B65" s="43">
        <v>21.258872579099997</v>
      </c>
      <c r="C65" s="43">
        <v>48.513837424099997</v>
      </c>
      <c r="D65" s="43">
        <v>21686.399999490219</v>
      </c>
      <c r="E65" s="43">
        <v>0</v>
      </c>
      <c r="F65" s="43">
        <v>0</v>
      </c>
      <c r="G65" s="43">
        <v>0</v>
      </c>
      <c r="H65" s="43">
        <v>99.753171332699992</v>
      </c>
      <c r="I65" s="84" t="s">
        <v>96</v>
      </c>
    </row>
    <row r="66" spans="1:9" ht="15.75" customHeight="1">
      <c r="A66" s="21">
        <v>42799</v>
      </c>
      <c r="B66" s="43">
        <v>21.258872579099997</v>
      </c>
      <c r="C66" s="43">
        <v>49.604036017899993</v>
      </c>
      <c r="D66" s="43">
        <v>21686.399999490219</v>
      </c>
      <c r="E66" s="43">
        <v>0</v>
      </c>
      <c r="F66" s="43">
        <v>0</v>
      </c>
      <c r="G66" s="43">
        <v>0</v>
      </c>
      <c r="H66" s="43">
        <v>111.20025656759998</v>
      </c>
      <c r="I66" s="84" t="s">
        <v>96</v>
      </c>
    </row>
    <row r="67" spans="1:9" ht="15.75" customHeight="1">
      <c r="A67" s="21">
        <v>42800</v>
      </c>
      <c r="B67" s="43">
        <v>20.713773282199998</v>
      </c>
      <c r="C67" s="43">
        <v>40.882447267499998</v>
      </c>
      <c r="D67" s="43">
        <v>20995.199999506465</v>
      </c>
      <c r="E67" s="43">
        <v>0</v>
      </c>
      <c r="F67" s="43">
        <v>0</v>
      </c>
      <c r="G67" s="43">
        <v>0</v>
      </c>
      <c r="H67" s="43">
        <v>110.6551572707</v>
      </c>
      <c r="I67" s="84" t="s">
        <v>96</v>
      </c>
    </row>
    <row r="68" spans="1:9" ht="15.75" customHeight="1">
      <c r="A68" s="21">
        <v>42801</v>
      </c>
      <c r="B68" s="43">
        <v>20.713773282199998</v>
      </c>
      <c r="C68" s="43">
        <v>49.604036017899993</v>
      </c>
      <c r="D68" s="43">
        <v>22636.799999467876</v>
      </c>
      <c r="E68" s="43">
        <v>0</v>
      </c>
      <c r="F68" s="43">
        <v>0</v>
      </c>
      <c r="G68" s="43">
        <v>0</v>
      </c>
      <c r="H68" s="43">
        <v>106.83946219240001</v>
      </c>
      <c r="I68" s="84" t="s">
        <v>96</v>
      </c>
    </row>
    <row r="69" spans="1:9" ht="15.75" customHeight="1">
      <c r="A69" s="21">
        <v>42802</v>
      </c>
      <c r="B69" s="43">
        <v>21.258872579099997</v>
      </c>
      <c r="C69" s="43">
        <v>46.333440236499996</v>
      </c>
      <c r="D69" s="43">
        <v>21167.999999502401</v>
      </c>
      <c r="E69" s="43">
        <v>0</v>
      </c>
      <c r="F69" s="43">
        <v>0</v>
      </c>
      <c r="G69" s="43">
        <v>0</v>
      </c>
      <c r="H69" s="43">
        <v>108.47476008309998</v>
      </c>
      <c r="I69" s="84" t="s">
        <v>96</v>
      </c>
    </row>
    <row r="70" spans="1:9" ht="15.75" customHeight="1">
      <c r="A70" s="21">
        <v>42803</v>
      </c>
      <c r="B70" s="43">
        <v>21.258872579099997</v>
      </c>
      <c r="C70" s="43">
        <v>44.153043048899995</v>
      </c>
      <c r="D70" s="43">
        <v>21340.79999949834</v>
      </c>
      <c r="E70" s="43">
        <v>0</v>
      </c>
      <c r="F70" s="43">
        <v>0</v>
      </c>
      <c r="G70" s="43">
        <v>0</v>
      </c>
      <c r="H70" s="43">
        <v>107.38456148929998</v>
      </c>
      <c r="I70" s="84" t="s">
        <v>96</v>
      </c>
    </row>
    <row r="71" spans="1:9" ht="15.75" customHeight="1">
      <c r="A71" s="21">
        <v>42804</v>
      </c>
      <c r="B71" s="43">
        <v>21.803971875999999</v>
      </c>
      <c r="C71" s="43">
        <v>42.517745158199993</v>
      </c>
      <c r="D71" s="43">
        <v>21686.399999490219</v>
      </c>
      <c r="E71" s="43">
        <v>0</v>
      </c>
      <c r="F71" s="43">
        <v>0</v>
      </c>
      <c r="G71" s="43">
        <v>0</v>
      </c>
      <c r="H71" s="43">
        <v>107.38456148929998</v>
      </c>
      <c r="I71" s="84" t="s">
        <v>96</v>
      </c>
    </row>
    <row r="72" spans="1:9" ht="15.75" customHeight="1">
      <c r="A72" s="21">
        <v>42805</v>
      </c>
      <c r="B72" s="43">
        <v>22.349071172899997</v>
      </c>
      <c r="C72" s="43">
        <v>49.058936720999995</v>
      </c>
      <c r="D72" s="43">
        <v>22118.399999480062</v>
      </c>
      <c r="E72" s="43">
        <v>0</v>
      </c>
      <c r="F72" s="43">
        <v>0</v>
      </c>
      <c r="G72" s="43">
        <v>0</v>
      </c>
      <c r="H72" s="43">
        <v>110.6551572707</v>
      </c>
      <c r="I72" s="84" t="s">
        <v>96</v>
      </c>
    </row>
    <row r="73" spans="1:9" ht="15.75" customHeight="1">
      <c r="A73" s="21">
        <v>42806</v>
      </c>
      <c r="B73" s="43">
        <v>22.349071172899997</v>
      </c>
      <c r="C73" s="43">
        <v>49.058936720999995</v>
      </c>
      <c r="D73" s="43">
        <v>22377.599999473965</v>
      </c>
      <c r="E73" s="43">
        <v>0</v>
      </c>
      <c r="F73" s="43">
        <v>0</v>
      </c>
      <c r="G73" s="43">
        <v>0</v>
      </c>
      <c r="H73" s="43">
        <v>111.20025656759998</v>
      </c>
      <c r="I73" s="84" t="s">
        <v>96</v>
      </c>
    </row>
    <row r="74" spans="1:9" ht="15.75" customHeight="1">
      <c r="A74" s="21">
        <v>42807</v>
      </c>
      <c r="B74" s="43">
        <v>21.803971875999999</v>
      </c>
      <c r="C74" s="43">
        <v>49.604036017899993</v>
      </c>
      <c r="D74" s="43">
        <v>21513.599999494279</v>
      </c>
      <c r="E74" s="43">
        <v>0</v>
      </c>
      <c r="F74" s="43">
        <v>0</v>
      </c>
      <c r="G74" s="43">
        <v>0</v>
      </c>
      <c r="H74" s="43">
        <v>104.65906500479998</v>
      </c>
      <c r="I74" s="84" t="s">
        <v>96</v>
      </c>
    </row>
    <row r="75" spans="1:9" ht="15.75" customHeight="1">
      <c r="A75" s="21">
        <v>42808</v>
      </c>
      <c r="B75" s="43">
        <v>22.894170469799999</v>
      </c>
      <c r="C75" s="43">
        <v>50.149135314799992</v>
      </c>
      <c r="D75" s="43">
        <v>22377.599999473965</v>
      </c>
      <c r="E75" s="43">
        <v>0</v>
      </c>
      <c r="F75" s="43">
        <v>0</v>
      </c>
      <c r="G75" s="43">
        <v>0</v>
      </c>
      <c r="H75" s="43">
        <v>114.470852349</v>
      </c>
      <c r="I75" s="84" t="s">
        <v>96</v>
      </c>
    </row>
    <row r="76" spans="1:9" ht="15.75" customHeight="1">
      <c r="A76" s="21">
        <v>42809</v>
      </c>
      <c r="B76" s="43">
        <v>24.529468360499997</v>
      </c>
      <c r="C76" s="43">
        <v>48.513837424099997</v>
      </c>
      <c r="D76" s="43">
        <v>29894.399999297271</v>
      </c>
      <c r="E76" s="43">
        <v>0</v>
      </c>
      <c r="F76" s="43">
        <v>0</v>
      </c>
      <c r="G76" s="43">
        <v>0</v>
      </c>
      <c r="H76" s="43">
        <v>136.274824225</v>
      </c>
      <c r="I76" s="84" t="s">
        <v>96</v>
      </c>
    </row>
    <row r="77" spans="1:9" ht="15.75" customHeight="1">
      <c r="A77" s="21">
        <v>42810</v>
      </c>
      <c r="B77" s="43">
        <v>24.529468360499997</v>
      </c>
      <c r="C77" s="43">
        <v>50.149135314799992</v>
      </c>
      <c r="D77" s="43">
        <v>33782.399999205874</v>
      </c>
      <c r="E77" s="43">
        <v>0</v>
      </c>
      <c r="F77" s="43">
        <v>0</v>
      </c>
      <c r="G77" s="43">
        <v>0</v>
      </c>
      <c r="H77" s="43">
        <v>152.08270383509998</v>
      </c>
      <c r="I77" s="84" t="s">
        <v>96</v>
      </c>
    </row>
    <row r="78" spans="1:9" ht="15.75" customHeight="1">
      <c r="A78" s="21">
        <v>42811</v>
      </c>
      <c r="B78" s="43">
        <v>24.529468360499997</v>
      </c>
      <c r="C78" s="43">
        <v>65.957014924899994</v>
      </c>
      <c r="D78" s="43">
        <v>30412.799999285086</v>
      </c>
      <c r="E78" s="43">
        <v>0</v>
      </c>
      <c r="F78" s="43">
        <v>0</v>
      </c>
      <c r="G78" s="43">
        <v>0</v>
      </c>
      <c r="H78" s="43">
        <v>141.725817194</v>
      </c>
      <c r="I78" s="84" t="s">
        <v>96</v>
      </c>
    </row>
    <row r="79" spans="1:9" ht="15.75" customHeight="1">
      <c r="A79" s="21">
        <v>42812</v>
      </c>
      <c r="B79" s="43">
        <v>24.529468360499997</v>
      </c>
      <c r="C79" s="43">
        <v>91.576681879199995</v>
      </c>
      <c r="D79" s="43">
        <v>33782.399999205874</v>
      </c>
      <c r="E79" s="43">
        <v>0</v>
      </c>
      <c r="F79" s="43">
        <v>0</v>
      </c>
      <c r="G79" s="43">
        <v>0</v>
      </c>
      <c r="H79" s="43">
        <v>144.45131367849999</v>
      </c>
      <c r="I79" s="84" t="s">
        <v>96</v>
      </c>
    </row>
    <row r="80" spans="1:9" ht="15.75" customHeight="1">
      <c r="A80" s="21">
        <v>42813</v>
      </c>
      <c r="B80" s="43">
        <v>25.619666954299998</v>
      </c>
      <c r="C80" s="43">
        <v>113.92575305209998</v>
      </c>
      <c r="D80" s="43">
        <v>30412.799999285086</v>
      </c>
      <c r="E80" s="43">
        <v>0</v>
      </c>
      <c r="F80" s="43">
        <v>0</v>
      </c>
      <c r="G80" s="43">
        <v>0</v>
      </c>
      <c r="H80" s="43">
        <v>156.98859750719998</v>
      </c>
      <c r="I80" s="84" t="s">
        <v>96</v>
      </c>
    </row>
    <row r="81" spans="1:9" ht="15.75" customHeight="1">
      <c r="A81" s="21">
        <v>42814</v>
      </c>
      <c r="B81" s="43">
        <v>25.074567657399996</v>
      </c>
      <c r="C81" s="43">
        <v>128.09833477149999</v>
      </c>
      <c r="D81" s="43">
        <v>29203.199999313521</v>
      </c>
      <c r="E81" s="43">
        <v>0</v>
      </c>
      <c r="F81" s="43">
        <v>0</v>
      </c>
      <c r="G81" s="43">
        <v>0</v>
      </c>
      <c r="H81" s="43">
        <v>142.81601578779998</v>
      </c>
      <c r="I81" s="84" t="s">
        <v>96</v>
      </c>
    </row>
    <row r="82" spans="1:9" ht="15.75" customHeight="1">
      <c r="A82" s="21">
        <v>42815</v>
      </c>
      <c r="B82" s="43">
        <v>25.074567657399996</v>
      </c>
      <c r="C82" s="43">
        <v>144.45131367849999</v>
      </c>
      <c r="D82" s="43">
        <v>30153.599999291175</v>
      </c>
      <c r="E82" s="43">
        <v>0</v>
      </c>
      <c r="F82" s="43">
        <v>0</v>
      </c>
      <c r="G82" s="43">
        <v>0</v>
      </c>
      <c r="H82" s="43">
        <v>135.18462563119999</v>
      </c>
      <c r="I82" s="84" t="s">
        <v>96</v>
      </c>
    </row>
    <row r="83" spans="1:9" ht="15.75" customHeight="1">
      <c r="A83" s="21">
        <v>42816</v>
      </c>
      <c r="B83" s="43">
        <v>27.254964844999996</v>
      </c>
      <c r="C83" s="43">
        <v>182.6082644615</v>
      </c>
      <c r="D83" s="43">
        <v>30844.799999274928</v>
      </c>
      <c r="E83" s="43">
        <v>0</v>
      </c>
      <c r="F83" s="43">
        <v>0</v>
      </c>
      <c r="G83" s="43">
        <v>0</v>
      </c>
      <c r="H83" s="43">
        <v>153.71800172579998</v>
      </c>
      <c r="I83" s="84" t="s">
        <v>96</v>
      </c>
    </row>
    <row r="84" spans="1:9" ht="15.75" customHeight="1">
      <c r="A84" s="21">
        <v>42817</v>
      </c>
      <c r="B84" s="43">
        <v>28.890262735699999</v>
      </c>
      <c r="C84" s="43">
        <v>252.38097446469996</v>
      </c>
      <c r="D84" s="43">
        <v>31103.999999268835</v>
      </c>
      <c r="E84" s="43">
        <v>0</v>
      </c>
      <c r="F84" s="43">
        <v>0</v>
      </c>
      <c r="G84" s="43">
        <v>0</v>
      </c>
      <c r="H84" s="43">
        <v>158.07879610099999</v>
      </c>
      <c r="I84" s="84" t="s">
        <v>96</v>
      </c>
    </row>
    <row r="85" spans="1:9" ht="15.75" customHeight="1">
      <c r="A85" s="21">
        <v>42818</v>
      </c>
      <c r="B85" s="43">
        <v>28.3451634388</v>
      </c>
      <c r="C85" s="43">
        <v>234.93779696389998</v>
      </c>
      <c r="D85" s="43">
        <v>29721.599999301332</v>
      </c>
      <c r="E85" s="43">
        <v>0</v>
      </c>
      <c r="F85" s="43">
        <v>0</v>
      </c>
      <c r="G85" s="43">
        <v>0</v>
      </c>
      <c r="H85" s="43">
        <v>149.90230664749998</v>
      </c>
      <c r="I85" s="84" t="s">
        <v>96</v>
      </c>
    </row>
    <row r="86" spans="1:9" ht="15.75" customHeight="1">
      <c r="A86" s="21">
        <v>42819</v>
      </c>
      <c r="B86" s="43">
        <v>28.3451634388</v>
      </c>
      <c r="C86" s="43">
        <v>210.9534279003</v>
      </c>
      <c r="D86" s="43">
        <v>29203.199999313521</v>
      </c>
      <c r="E86" s="43">
        <v>0</v>
      </c>
      <c r="F86" s="43">
        <v>0</v>
      </c>
      <c r="G86" s="43">
        <v>0</v>
      </c>
      <c r="H86" s="43">
        <v>150.4474059444</v>
      </c>
      <c r="I86" s="84" t="s">
        <v>96</v>
      </c>
    </row>
    <row r="87" spans="1:9" ht="15.75" customHeight="1">
      <c r="A87" s="21">
        <v>42820</v>
      </c>
      <c r="B87" s="43">
        <v>28.890262735699999</v>
      </c>
      <c r="C87" s="43">
        <v>191.87495250879999</v>
      </c>
      <c r="D87" s="43">
        <v>28511.999999329768</v>
      </c>
      <c r="E87" s="43">
        <v>0</v>
      </c>
      <c r="F87" s="43">
        <v>0</v>
      </c>
      <c r="G87" s="43">
        <v>0</v>
      </c>
      <c r="H87" s="43">
        <v>144.99641297540001</v>
      </c>
      <c r="I87" s="84" t="s">
        <v>96</v>
      </c>
    </row>
    <row r="88" spans="1:9" ht="15.75" customHeight="1">
      <c r="A88" s="21">
        <v>42821</v>
      </c>
      <c r="B88" s="43">
        <v>28.3451634388</v>
      </c>
      <c r="C88" s="43">
        <v>200.59654125919997</v>
      </c>
      <c r="D88" s="43">
        <v>30153.599999291175</v>
      </c>
      <c r="E88" s="43">
        <v>0</v>
      </c>
      <c r="F88" s="43">
        <v>0</v>
      </c>
      <c r="G88" s="43">
        <v>0</v>
      </c>
      <c r="H88" s="43">
        <v>146.63171086609998</v>
      </c>
      <c r="I88" s="84" t="s">
        <v>96</v>
      </c>
    </row>
    <row r="89" spans="1:9" ht="15.75" customHeight="1">
      <c r="A89" s="21">
        <v>42822</v>
      </c>
      <c r="B89" s="43">
        <v>30.525560626399997</v>
      </c>
      <c r="C89" s="43">
        <v>228.39660540109998</v>
      </c>
      <c r="D89" s="43">
        <v>29894.399999297271</v>
      </c>
      <c r="E89" s="43">
        <v>0</v>
      </c>
      <c r="F89" s="43">
        <v>0</v>
      </c>
      <c r="G89" s="43">
        <v>0</v>
      </c>
      <c r="H89" s="43">
        <v>147.176810163</v>
      </c>
      <c r="I89" s="84" t="s">
        <v>96</v>
      </c>
    </row>
    <row r="90" spans="1:9" ht="15.75" customHeight="1">
      <c r="A90" s="21">
        <v>42823</v>
      </c>
      <c r="B90" s="43">
        <v>32.705957814000001</v>
      </c>
      <c r="C90" s="43">
        <v>266.00845688719994</v>
      </c>
      <c r="D90" s="43">
        <v>31881.59999925056</v>
      </c>
      <c r="E90" s="43">
        <v>0</v>
      </c>
      <c r="F90" s="43">
        <v>0</v>
      </c>
      <c r="G90" s="43">
        <v>0</v>
      </c>
      <c r="H90" s="43">
        <v>165.16508696069999</v>
      </c>
      <c r="I90" s="84" t="s">
        <v>96</v>
      </c>
    </row>
    <row r="91" spans="1:9" ht="15.75" customHeight="1">
      <c r="A91" s="21">
        <v>42824</v>
      </c>
      <c r="B91" s="43">
        <v>36.521652892299997</v>
      </c>
      <c r="C91" s="43">
        <v>291.08302454459999</v>
      </c>
      <c r="D91" s="43">
        <v>34041.599999199781</v>
      </c>
      <c r="E91" s="43">
        <v>0</v>
      </c>
      <c r="F91" s="43">
        <v>0</v>
      </c>
      <c r="G91" s="43">
        <v>0</v>
      </c>
      <c r="H91" s="43">
        <v>172.25137782039999</v>
      </c>
      <c r="I91" s="84" t="s">
        <v>96</v>
      </c>
    </row>
    <row r="92" spans="1:9" ht="15.75" customHeight="1">
      <c r="A92" s="21">
        <v>42825</v>
      </c>
      <c r="B92" s="43">
        <v>36.521652892299997</v>
      </c>
      <c r="C92" s="43">
        <v>283.451634388</v>
      </c>
      <c r="D92" s="43">
        <v>31881.59999925056</v>
      </c>
      <c r="E92" s="43">
        <v>0</v>
      </c>
      <c r="F92" s="43">
        <v>0</v>
      </c>
      <c r="G92" s="43">
        <v>0</v>
      </c>
      <c r="H92" s="43">
        <v>167.89058344519998</v>
      </c>
      <c r="I92" s="84" t="s">
        <v>96</v>
      </c>
    </row>
    <row r="93" spans="1:9" ht="15.75" customHeight="1">
      <c r="A93" s="21">
        <v>42826</v>
      </c>
      <c r="B93" s="43">
        <v>43.062844455099999</v>
      </c>
      <c r="C93" s="43">
        <v>315.06739360819995</v>
      </c>
      <c r="D93" s="43">
        <v>47260.799998889037</v>
      </c>
      <c r="E93" s="43">
        <v>0</v>
      </c>
      <c r="F93" s="43">
        <v>0</v>
      </c>
      <c r="G93" s="43">
        <v>0</v>
      </c>
      <c r="H93" s="43">
        <v>221.3103145414</v>
      </c>
      <c r="I93" s="84" t="s">
        <v>96</v>
      </c>
    </row>
    <row r="94" spans="1:9" ht="15.75" customHeight="1">
      <c r="A94" s="21">
        <v>42827</v>
      </c>
      <c r="B94" s="43">
        <v>46.333440236499996</v>
      </c>
      <c r="C94" s="43">
        <v>279.09084001280002</v>
      </c>
      <c r="D94" s="43">
        <v>48556.799998858573</v>
      </c>
      <c r="E94" s="43">
        <v>0</v>
      </c>
      <c r="F94" s="43">
        <v>0</v>
      </c>
      <c r="G94" s="43">
        <v>31.195578511943999</v>
      </c>
      <c r="H94" s="43">
        <v>180.9729665708</v>
      </c>
      <c r="I94" s="84" t="s">
        <v>96</v>
      </c>
    </row>
    <row r="95" spans="1:9" ht="15.75" customHeight="1">
      <c r="A95" s="21">
        <v>42828</v>
      </c>
      <c r="B95" s="43">
        <v>40.882447267499998</v>
      </c>
      <c r="C95" s="43">
        <v>287.81242876319999</v>
      </c>
      <c r="D95" s="43">
        <v>43113.599998986523</v>
      </c>
      <c r="E95" s="43">
        <v>0</v>
      </c>
      <c r="F95" s="43">
        <v>0</v>
      </c>
      <c r="G95" s="43">
        <v>35.147548414440003</v>
      </c>
      <c r="H95" s="43">
        <v>168.43568274209997</v>
      </c>
      <c r="I95" s="84" t="s">
        <v>96</v>
      </c>
    </row>
    <row r="96" spans="1:9" ht="15.75" customHeight="1">
      <c r="A96" s="21">
        <v>42829</v>
      </c>
      <c r="B96" s="43">
        <v>41.427546564399996</v>
      </c>
      <c r="C96" s="43">
        <v>286.72223016940001</v>
      </c>
      <c r="D96" s="43">
        <v>41558.399999023088</v>
      </c>
      <c r="E96" s="43">
        <v>0</v>
      </c>
      <c r="F96" s="43">
        <v>0</v>
      </c>
      <c r="G96" s="43">
        <v>0</v>
      </c>
      <c r="H96" s="43">
        <v>155.8983989134</v>
      </c>
      <c r="I96" s="84" t="s">
        <v>96</v>
      </c>
    </row>
    <row r="97" spans="1:9" ht="15.75" customHeight="1">
      <c r="A97" s="21">
        <v>42830</v>
      </c>
      <c r="B97" s="43">
        <v>40.3373479706</v>
      </c>
      <c r="C97" s="43">
        <v>261.64766251200001</v>
      </c>
      <c r="D97" s="43">
        <v>45964.799998919501</v>
      </c>
      <c r="E97" s="43">
        <v>0</v>
      </c>
      <c r="F97" s="43">
        <v>0</v>
      </c>
      <c r="G97" s="43">
        <v>0</v>
      </c>
      <c r="H97" s="43">
        <v>158.07879610099999</v>
      </c>
      <c r="I97" s="84" t="s">
        <v>96</v>
      </c>
    </row>
    <row r="98" spans="1:9" ht="15.75" customHeight="1">
      <c r="A98" s="21">
        <v>42831</v>
      </c>
      <c r="B98" s="43">
        <v>39.792248673699994</v>
      </c>
      <c r="C98" s="43">
        <v>241.47898852669996</v>
      </c>
      <c r="D98" s="43">
        <v>47260.799998889037</v>
      </c>
      <c r="E98" s="43">
        <v>0</v>
      </c>
      <c r="F98" s="43">
        <v>0</v>
      </c>
      <c r="G98" s="43">
        <v>0</v>
      </c>
      <c r="H98" s="43">
        <v>167.89058344519998</v>
      </c>
      <c r="I98" s="84" t="s">
        <v>96</v>
      </c>
    </row>
    <row r="99" spans="1:9" ht="15.75" customHeight="1">
      <c r="A99" s="21">
        <v>42832</v>
      </c>
      <c r="B99" s="43">
        <v>40.882447267499998</v>
      </c>
      <c r="C99" s="43">
        <v>251.8358751678</v>
      </c>
      <c r="D99" s="43">
        <v>52963.199998754993</v>
      </c>
      <c r="E99" s="43">
        <v>0</v>
      </c>
      <c r="F99" s="43">
        <v>0</v>
      </c>
      <c r="G99" s="43">
        <v>0</v>
      </c>
      <c r="H99" s="43">
        <v>189.14945602430001</v>
      </c>
      <c r="I99" s="84" t="s">
        <v>96</v>
      </c>
    </row>
    <row r="100" spans="1:9" ht="15.75" customHeight="1">
      <c r="A100" s="21">
        <v>42833</v>
      </c>
      <c r="B100" s="43">
        <v>39.792248673699994</v>
      </c>
      <c r="C100" s="43">
        <v>273.0947477469</v>
      </c>
      <c r="D100" s="43">
        <v>57196.799998655471</v>
      </c>
      <c r="E100" s="43">
        <v>0</v>
      </c>
      <c r="F100" s="43">
        <v>0</v>
      </c>
      <c r="G100" s="43">
        <v>0</v>
      </c>
      <c r="H100" s="43">
        <v>172.25137782039999</v>
      </c>
      <c r="I100" s="84" t="s">
        <v>96</v>
      </c>
    </row>
    <row r="101" spans="1:9" ht="15.75" customHeight="1">
      <c r="A101" s="21">
        <v>42834</v>
      </c>
      <c r="B101" s="43">
        <v>39.247149376799996</v>
      </c>
      <c r="C101" s="43">
        <v>251.8358751678</v>
      </c>
      <c r="D101" s="43">
        <v>54345.5999987225</v>
      </c>
      <c r="E101" s="43">
        <v>0</v>
      </c>
      <c r="F101" s="43">
        <v>0</v>
      </c>
      <c r="G101" s="43">
        <v>0</v>
      </c>
      <c r="H101" s="43">
        <v>167.89058344519998</v>
      </c>
      <c r="I101" s="84" t="s">
        <v>96</v>
      </c>
    </row>
    <row r="102" spans="1:9" ht="15.75" customHeight="1">
      <c r="A102" s="21">
        <v>42835</v>
      </c>
      <c r="B102" s="43">
        <v>39.247149376799996</v>
      </c>
      <c r="C102" s="43">
        <v>245.29468360499999</v>
      </c>
      <c r="D102" s="43">
        <v>47260.799998889037</v>
      </c>
      <c r="E102" s="43">
        <v>0</v>
      </c>
      <c r="F102" s="43">
        <v>0</v>
      </c>
      <c r="G102" s="43">
        <v>0</v>
      </c>
      <c r="H102" s="43">
        <v>163.52978906999999</v>
      </c>
      <c r="I102" s="84" t="s">
        <v>96</v>
      </c>
    </row>
    <row r="103" spans="1:9" ht="15.75" customHeight="1">
      <c r="A103" s="21">
        <v>42836</v>
      </c>
      <c r="B103" s="43">
        <v>38.156950782999999</v>
      </c>
      <c r="C103" s="43">
        <v>222.40051313519996</v>
      </c>
      <c r="D103" s="43">
        <v>47692.79999887888</v>
      </c>
      <c r="E103" s="43">
        <v>0</v>
      </c>
      <c r="F103" s="43">
        <v>0</v>
      </c>
      <c r="G103" s="43">
        <v>20.002115866656002</v>
      </c>
      <c r="H103" s="43">
        <v>149.35720735059999</v>
      </c>
      <c r="I103" s="84" t="s">
        <v>96</v>
      </c>
    </row>
    <row r="104" spans="1:9" ht="15.75" customHeight="1">
      <c r="A104" s="21">
        <v>42837</v>
      </c>
      <c r="B104" s="43">
        <v>38.702050079899998</v>
      </c>
      <c r="C104" s="43">
        <v>211.49852719719996</v>
      </c>
      <c r="D104" s="43">
        <v>52099.199998775301</v>
      </c>
      <c r="E104" s="43">
        <v>0</v>
      </c>
      <c r="F104" s="43">
        <v>0</v>
      </c>
      <c r="G104" s="43">
        <v>0</v>
      </c>
      <c r="H104" s="43">
        <v>152.08270383509998</v>
      </c>
      <c r="I104" s="84" t="s">
        <v>96</v>
      </c>
    </row>
    <row r="105" spans="1:9" ht="15.75" customHeight="1">
      <c r="A105" s="21">
        <v>42838</v>
      </c>
      <c r="B105" s="43">
        <v>37.611851486100001</v>
      </c>
      <c r="C105" s="43">
        <v>212.58872579099997</v>
      </c>
      <c r="D105" s="43">
        <v>56678.399998667657</v>
      </c>
      <c r="E105" s="43">
        <v>0</v>
      </c>
      <c r="F105" s="43">
        <v>0</v>
      </c>
      <c r="G105" s="43">
        <v>31.044162040584002</v>
      </c>
      <c r="H105" s="43">
        <v>159.7140939917</v>
      </c>
      <c r="I105" s="84" t="s">
        <v>96</v>
      </c>
    </row>
    <row r="106" spans="1:9" ht="15.75" customHeight="1">
      <c r="A106" s="21">
        <v>42839</v>
      </c>
      <c r="B106" s="43">
        <v>37.066752189199995</v>
      </c>
      <c r="C106" s="43">
        <v>224.58091032280001</v>
      </c>
      <c r="D106" s="43">
        <v>51580.799998787494</v>
      </c>
      <c r="E106" s="43">
        <v>0</v>
      </c>
      <c r="F106" s="43">
        <v>0</v>
      </c>
      <c r="G106" s="43">
        <v>0</v>
      </c>
      <c r="H106" s="43">
        <v>153.71800172579998</v>
      </c>
      <c r="I106" s="84" t="s">
        <v>96</v>
      </c>
    </row>
    <row r="107" spans="1:9" ht="15.75" customHeight="1">
      <c r="A107" s="21">
        <v>42840</v>
      </c>
      <c r="B107" s="43">
        <v>37.066752189199995</v>
      </c>
      <c r="C107" s="43">
        <v>211.49852719719996</v>
      </c>
      <c r="D107" s="43">
        <v>52963.199998754993</v>
      </c>
      <c r="E107" s="43">
        <v>0</v>
      </c>
      <c r="F107" s="43">
        <v>0</v>
      </c>
      <c r="G107" s="43">
        <v>0</v>
      </c>
      <c r="H107" s="43">
        <v>146.08661156919999</v>
      </c>
      <c r="I107" s="84" t="s">
        <v>96</v>
      </c>
    </row>
    <row r="108" spans="1:9" ht="15.75" customHeight="1">
      <c r="A108" s="21">
        <v>42841</v>
      </c>
      <c r="B108" s="43">
        <v>35.4314542985</v>
      </c>
      <c r="C108" s="43">
        <v>195.69064758709999</v>
      </c>
      <c r="D108" s="43">
        <v>44755.19999894793</v>
      </c>
      <c r="E108" s="43">
        <v>0</v>
      </c>
      <c r="F108" s="43">
        <v>0</v>
      </c>
      <c r="G108" s="43">
        <v>0</v>
      </c>
      <c r="H108" s="43">
        <v>141.725817194</v>
      </c>
      <c r="I108" s="84" t="s">
        <v>96</v>
      </c>
    </row>
    <row r="109" spans="1:9" ht="15.75" customHeight="1">
      <c r="A109" s="21">
        <v>42842</v>
      </c>
      <c r="B109" s="43">
        <v>34.341255704699996</v>
      </c>
      <c r="C109" s="43">
        <v>188.0592574305</v>
      </c>
      <c r="D109" s="43">
        <v>55727.99999869</v>
      </c>
      <c r="E109" s="43">
        <v>0</v>
      </c>
      <c r="F109" s="43">
        <v>0</v>
      </c>
      <c r="G109" s="43">
        <v>21.012820812984</v>
      </c>
      <c r="H109" s="43">
        <v>149.35720735059999</v>
      </c>
      <c r="I109" s="84" t="s">
        <v>96</v>
      </c>
    </row>
    <row r="110" spans="1:9" ht="15.75" customHeight="1">
      <c r="A110" s="21">
        <v>42843</v>
      </c>
      <c r="B110" s="43">
        <v>33.796156407799998</v>
      </c>
      <c r="C110" s="43">
        <v>181.51806586769996</v>
      </c>
      <c r="D110" s="43">
        <v>65231.999998466585</v>
      </c>
      <c r="E110" s="43">
        <v>0</v>
      </c>
      <c r="F110" s="43">
        <v>0</v>
      </c>
      <c r="G110" s="43">
        <v>0</v>
      </c>
      <c r="H110" s="43">
        <v>142.81601578779998</v>
      </c>
      <c r="I110" s="84" t="s">
        <v>96</v>
      </c>
    </row>
    <row r="111" spans="1:9" ht="15.75" customHeight="1">
      <c r="A111" s="21">
        <v>42844</v>
      </c>
      <c r="B111" s="43">
        <v>38.156950782999999</v>
      </c>
      <c r="C111" s="43">
        <v>181.51806586769996</v>
      </c>
      <c r="D111" s="43">
        <v>65750.399998454392</v>
      </c>
      <c r="E111" s="43">
        <v>0</v>
      </c>
      <c r="F111" s="43">
        <v>0</v>
      </c>
      <c r="G111" s="43">
        <v>22.882814234280001</v>
      </c>
      <c r="H111" s="43">
        <v>140.0905193033</v>
      </c>
      <c r="I111" s="84" t="s">
        <v>96</v>
      </c>
    </row>
    <row r="112" spans="1:9" ht="15.75" customHeight="1">
      <c r="A112" s="21">
        <v>42845</v>
      </c>
      <c r="B112" s="43">
        <v>43.607943751999997</v>
      </c>
      <c r="C112" s="43">
        <v>201.14164055609999</v>
      </c>
      <c r="D112" s="43">
        <v>80438.399998109133</v>
      </c>
      <c r="E112" s="43">
        <v>0</v>
      </c>
      <c r="F112" s="43">
        <v>0</v>
      </c>
      <c r="G112" s="43">
        <v>0</v>
      </c>
      <c r="H112" s="43">
        <v>171.16117922659998</v>
      </c>
      <c r="I112" s="84" t="s">
        <v>96</v>
      </c>
    </row>
    <row r="113" spans="1:9" ht="15.75" customHeight="1">
      <c r="A113" s="21">
        <v>42846</v>
      </c>
      <c r="B113" s="43">
        <v>43.062844455099999</v>
      </c>
      <c r="C113" s="43">
        <v>243.65938571429999</v>
      </c>
      <c r="D113" s="43">
        <v>77500.799998178176</v>
      </c>
      <c r="E113" s="43">
        <v>0</v>
      </c>
      <c r="F113" s="43">
        <v>0</v>
      </c>
      <c r="G113" s="43">
        <v>0</v>
      </c>
      <c r="H113" s="43">
        <v>180.9729665708</v>
      </c>
      <c r="I113" s="84" t="s">
        <v>96</v>
      </c>
    </row>
    <row r="114" spans="1:9" ht="15.75" customHeight="1">
      <c r="A114" s="21">
        <v>42847</v>
      </c>
      <c r="B114" s="43">
        <v>42.517745158199993</v>
      </c>
      <c r="C114" s="43">
        <v>285.63203157559997</v>
      </c>
      <c r="D114" s="43">
        <v>92447.999997826832</v>
      </c>
      <c r="E114" s="43">
        <v>0</v>
      </c>
      <c r="F114" s="43">
        <v>0</v>
      </c>
      <c r="G114" s="43">
        <v>0</v>
      </c>
      <c r="H114" s="43">
        <v>161.89449117929999</v>
      </c>
      <c r="I114" s="84" t="s">
        <v>96</v>
      </c>
    </row>
    <row r="115" spans="1:9" ht="15.75" customHeight="1">
      <c r="A115" s="21">
        <v>42848</v>
      </c>
      <c r="B115" s="43">
        <v>40.3373479706</v>
      </c>
      <c r="C115" s="43">
        <v>243.65938571429999</v>
      </c>
      <c r="D115" s="43">
        <v>97631.999997704945</v>
      </c>
      <c r="E115" s="43">
        <v>0</v>
      </c>
      <c r="F115" s="43">
        <v>0</v>
      </c>
      <c r="G115" s="43">
        <v>31.710394514568002</v>
      </c>
      <c r="H115" s="43">
        <v>159.16899469479998</v>
      </c>
      <c r="I115" s="84" t="s">
        <v>96</v>
      </c>
    </row>
    <row r="116" spans="1:9" ht="15.75" customHeight="1">
      <c r="A116" s="21">
        <v>42849</v>
      </c>
      <c r="B116" s="43">
        <v>38.156950782999999</v>
      </c>
      <c r="C116" s="43">
        <v>225.67110891659999</v>
      </c>
      <c r="D116" s="43">
        <v>112319.99999735969</v>
      </c>
      <c r="E116" s="43">
        <v>0</v>
      </c>
      <c r="F116" s="43">
        <v>0</v>
      </c>
      <c r="G116" s="43">
        <v>0</v>
      </c>
      <c r="H116" s="43">
        <v>160.25919328859999</v>
      </c>
      <c r="I116" s="84" t="s">
        <v>96</v>
      </c>
    </row>
    <row r="117" spans="1:9" ht="15.75" customHeight="1">
      <c r="A117" s="21">
        <v>42850</v>
      </c>
      <c r="B117" s="43">
        <v>37.611851486100001</v>
      </c>
      <c r="C117" s="43">
        <v>230.57700258869997</v>
      </c>
      <c r="D117" s="43">
        <v>123551.99999709566</v>
      </c>
      <c r="E117" s="43">
        <v>0</v>
      </c>
      <c r="F117" s="43">
        <v>0</v>
      </c>
      <c r="G117" s="43">
        <v>17.590808560248</v>
      </c>
      <c r="H117" s="43">
        <v>160.80429258549998</v>
      </c>
      <c r="I117" s="84" t="s">
        <v>96</v>
      </c>
    </row>
    <row r="118" spans="1:9" ht="15.75" customHeight="1">
      <c r="A118" s="21">
        <v>42851</v>
      </c>
      <c r="B118" s="43">
        <v>37.611851486100001</v>
      </c>
      <c r="C118" s="43">
        <v>236.57309485459999</v>
      </c>
      <c r="D118" s="43">
        <v>154655.9999963645</v>
      </c>
      <c r="E118" s="43">
        <v>0</v>
      </c>
      <c r="F118" s="43">
        <v>0</v>
      </c>
      <c r="G118" s="43">
        <v>0</v>
      </c>
      <c r="H118" s="43">
        <v>161.3493918824</v>
      </c>
      <c r="I118" s="84" t="s">
        <v>96</v>
      </c>
    </row>
    <row r="119" spans="1:9" ht="15.75" customHeight="1">
      <c r="A119" s="21">
        <v>42852</v>
      </c>
      <c r="B119" s="43">
        <v>37.066752189199995</v>
      </c>
      <c r="C119" s="43">
        <v>224.03581102589999</v>
      </c>
      <c r="D119" s="43">
        <v>178847.99999579581</v>
      </c>
      <c r="E119" s="43">
        <v>0</v>
      </c>
      <c r="F119" s="43">
        <v>0</v>
      </c>
      <c r="G119" s="43">
        <v>32.357699929631998</v>
      </c>
      <c r="H119" s="43">
        <v>161.3493918824</v>
      </c>
      <c r="I119" s="84" t="s">
        <v>96</v>
      </c>
    </row>
    <row r="120" spans="1:9" ht="15.75" customHeight="1">
      <c r="A120" s="21">
        <v>42853</v>
      </c>
      <c r="B120" s="43">
        <v>35.976553595399999</v>
      </c>
      <c r="C120" s="43">
        <v>209.86322930649999</v>
      </c>
      <c r="D120" s="43">
        <v>165887.99999610047</v>
      </c>
      <c r="E120" s="43">
        <v>0</v>
      </c>
      <c r="F120" s="43">
        <v>0</v>
      </c>
      <c r="G120" s="43">
        <v>0</v>
      </c>
      <c r="H120" s="43">
        <v>151.53760453819999</v>
      </c>
      <c r="I120" s="84" t="s">
        <v>96</v>
      </c>
    </row>
    <row r="121" spans="1:9" ht="15.75" customHeight="1">
      <c r="A121" s="21">
        <v>42854</v>
      </c>
      <c r="B121" s="43">
        <v>35.976553595399999</v>
      </c>
      <c r="C121" s="43">
        <v>201.68673985299998</v>
      </c>
      <c r="D121" s="43">
        <v>144287.99999660821</v>
      </c>
      <c r="E121" s="43">
        <v>0</v>
      </c>
      <c r="F121" s="43">
        <v>0</v>
      </c>
      <c r="G121" s="43">
        <v>56.463202170144001</v>
      </c>
      <c r="H121" s="43">
        <v>150.99250524129999</v>
      </c>
      <c r="I121" s="84" t="s">
        <v>96</v>
      </c>
    </row>
    <row r="122" spans="1:9" ht="15.75" customHeight="1">
      <c r="A122" s="21">
        <v>42855</v>
      </c>
      <c r="B122" s="43">
        <v>37.066752189199995</v>
      </c>
      <c r="C122" s="43">
        <v>190.78475391499998</v>
      </c>
      <c r="D122" s="43">
        <v>185759.99999563332</v>
      </c>
      <c r="E122" s="43">
        <v>0</v>
      </c>
      <c r="F122" s="43">
        <v>0</v>
      </c>
      <c r="G122" s="43">
        <v>4.20180708024</v>
      </c>
      <c r="H122" s="43">
        <v>149.35720735059999</v>
      </c>
      <c r="I122" s="84" t="s">
        <v>96</v>
      </c>
    </row>
    <row r="123" spans="1:9" ht="15.75" customHeight="1">
      <c r="A123" s="21">
        <v>42856</v>
      </c>
      <c r="B123" s="43">
        <v>37.611851486100001</v>
      </c>
      <c r="C123" s="43">
        <v>185.33376094599998</v>
      </c>
      <c r="D123" s="43">
        <v>180575.99999575521</v>
      </c>
      <c r="E123" s="43">
        <v>0</v>
      </c>
      <c r="F123" s="43">
        <v>0</v>
      </c>
      <c r="G123" s="43">
        <v>0</v>
      </c>
      <c r="H123" s="43">
        <v>145.5415122723</v>
      </c>
      <c r="I123" s="84" t="s">
        <v>96</v>
      </c>
    </row>
    <row r="124" spans="1:9" ht="15.75" customHeight="1">
      <c r="A124" s="21">
        <v>42857</v>
      </c>
      <c r="B124" s="43">
        <v>38.156950782999999</v>
      </c>
      <c r="C124" s="43">
        <v>177.70237078939999</v>
      </c>
      <c r="D124" s="43">
        <v>175391.99999587703</v>
      </c>
      <c r="E124" s="43">
        <v>0</v>
      </c>
      <c r="F124" s="43">
        <v>0</v>
      </c>
      <c r="G124" s="43">
        <v>59.332544302416004</v>
      </c>
      <c r="H124" s="43">
        <v>143.90621438159999</v>
      </c>
      <c r="I124" s="84" t="s">
        <v>96</v>
      </c>
    </row>
    <row r="125" spans="1:9" ht="15.75" customHeight="1">
      <c r="A125" s="21">
        <v>42858</v>
      </c>
      <c r="B125" s="43">
        <v>39.247149376799996</v>
      </c>
      <c r="C125" s="43">
        <v>175.5219736018</v>
      </c>
      <c r="D125" s="43">
        <v>306719.99999278993</v>
      </c>
      <c r="E125" s="43">
        <v>0</v>
      </c>
      <c r="F125" s="43">
        <v>0</v>
      </c>
      <c r="G125" s="43">
        <v>0</v>
      </c>
      <c r="H125" s="43">
        <v>147.72190945989999</v>
      </c>
      <c r="I125" s="84" t="s">
        <v>96</v>
      </c>
    </row>
    <row r="126" spans="1:9" ht="15.75" customHeight="1">
      <c r="A126" s="21">
        <v>42859</v>
      </c>
      <c r="B126" s="43">
        <v>40.3373479706</v>
      </c>
      <c r="C126" s="43">
        <v>172.25137782039999</v>
      </c>
      <c r="D126" s="43">
        <v>545183.9999871843</v>
      </c>
      <c r="E126" s="43">
        <v>0</v>
      </c>
      <c r="F126" s="43">
        <v>0</v>
      </c>
      <c r="G126" s="43">
        <v>0</v>
      </c>
      <c r="H126" s="43">
        <v>144.99641297540001</v>
      </c>
      <c r="I126" s="84" t="s">
        <v>96</v>
      </c>
    </row>
    <row r="127" spans="1:9" ht="15.75" customHeight="1">
      <c r="A127" s="21">
        <v>42860</v>
      </c>
      <c r="B127" s="43">
        <v>42.517745158199993</v>
      </c>
      <c r="C127" s="43">
        <v>105.20416430169999</v>
      </c>
      <c r="D127" s="43">
        <v>2194559.9999484122</v>
      </c>
      <c r="E127" s="43">
        <v>0</v>
      </c>
      <c r="F127" s="43">
        <v>0</v>
      </c>
      <c r="G127" s="43">
        <v>29.056820853984</v>
      </c>
      <c r="H127" s="43">
        <v>160.80429258549998</v>
      </c>
      <c r="I127" s="84" t="s">
        <v>96</v>
      </c>
    </row>
    <row r="128" spans="1:9" ht="15.75" customHeight="1">
      <c r="A128" s="21">
        <v>42861</v>
      </c>
      <c r="B128" s="43">
        <v>43.062844455099999</v>
      </c>
      <c r="C128" s="43">
        <v>234.39269766699999</v>
      </c>
      <c r="D128" s="43">
        <v>3101759.9999270863</v>
      </c>
      <c r="E128" s="43">
        <v>0</v>
      </c>
      <c r="F128" s="43">
        <v>0</v>
      </c>
      <c r="G128" s="43">
        <v>0</v>
      </c>
      <c r="H128" s="43">
        <v>156.98859750719998</v>
      </c>
      <c r="I128" s="84" t="s">
        <v>96</v>
      </c>
    </row>
    <row r="129" spans="1:9" ht="15.75" customHeight="1">
      <c r="A129" s="21">
        <v>42862</v>
      </c>
      <c r="B129" s="43">
        <v>43.607943751999997</v>
      </c>
      <c r="C129" s="43">
        <v>225.67110891659999</v>
      </c>
      <c r="D129" s="43">
        <v>1667519.9999608016</v>
      </c>
      <c r="E129" s="43">
        <v>0</v>
      </c>
      <c r="F129" s="43">
        <v>0</v>
      </c>
      <c r="G129" s="43">
        <v>0</v>
      </c>
      <c r="H129" s="43">
        <v>150.4474059444</v>
      </c>
      <c r="I129" s="84" t="s">
        <v>96</v>
      </c>
    </row>
    <row r="130" spans="1:9" ht="15.75" customHeight="1">
      <c r="A130" s="21">
        <v>42863</v>
      </c>
      <c r="B130" s="43">
        <v>44.153043048899995</v>
      </c>
      <c r="C130" s="43">
        <v>211.49852719719996</v>
      </c>
      <c r="D130" s="43">
        <v>1365119.9999679099</v>
      </c>
      <c r="E130" s="43">
        <v>0</v>
      </c>
      <c r="F130" s="43">
        <v>0</v>
      </c>
      <c r="G130" s="43">
        <v>77.176975452191996</v>
      </c>
      <c r="H130" s="43">
        <v>149.35720735059999</v>
      </c>
      <c r="I130" s="84" t="s">
        <v>96</v>
      </c>
    </row>
    <row r="131" spans="1:9" ht="15.75" customHeight="1">
      <c r="A131" s="21">
        <v>42864</v>
      </c>
      <c r="B131" s="43">
        <v>44.153043048899995</v>
      </c>
      <c r="C131" s="43">
        <v>210.9534279003</v>
      </c>
      <c r="D131" s="43">
        <v>1218239.9999713628</v>
      </c>
      <c r="E131" s="43">
        <v>831.57547529733608</v>
      </c>
      <c r="F131" s="43">
        <v>948.86645942457608</v>
      </c>
      <c r="G131" s="43">
        <v>0</v>
      </c>
      <c r="H131" s="43">
        <v>148.8121080537</v>
      </c>
      <c r="I131" s="43">
        <f>D131/E131</f>
        <v>1464.9782685519579</v>
      </c>
    </row>
    <row r="132" spans="1:9" ht="15.75" customHeight="1">
      <c r="A132" s="21">
        <v>42865</v>
      </c>
      <c r="B132" s="43">
        <v>44.698142345799994</v>
      </c>
      <c r="C132" s="43">
        <v>191.87495250879999</v>
      </c>
      <c r="D132" s="43">
        <v>1641599.9999614109</v>
      </c>
      <c r="E132" s="43">
        <v>888.29987088057601</v>
      </c>
      <c r="F132" s="43">
        <v>947.62862977120801</v>
      </c>
      <c r="G132" s="43">
        <v>0</v>
      </c>
      <c r="H132" s="43">
        <v>147.176810163</v>
      </c>
      <c r="I132" s="43">
        <f t="shared" ref="I132:I195" si="0">D132/E132</f>
        <v>1848.0245846867958</v>
      </c>
    </row>
    <row r="133" spans="1:9" ht="15.75" customHeight="1">
      <c r="A133" s="21">
        <v>42866</v>
      </c>
      <c r="B133" s="43">
        <v>44.698142345799994</v>
      </c>
      <c r="C133" s="43">
        <v>110.11005797379998</v>
      </c>
      <c r="D133" s="43">
        <v>2375999.9999441472</v>
      </c>
      <c r="E133" s="43">
        <v>979.74406334666401</v>
      </c>
      <c r="F133" s="43">
        <v>951.41404155520809</v>
      </c>
      <c r="G133" s="43">
        <v>0</v>
      </c>
      <c r="H133" s="43">
        <v>154.2631010227</v>
      </c>
      <c r="I133" s="43">
        <f t="shared" si="0"/>
        <v>2425.1231406578518</v>
      </c>
    </row>
    <row r="134" spans="1:9" ht="15.75" customHeight="1">
      <c r="A134" s="21">
        <v>42867</v>
      </c>
      <c r="B134" s="43">
        <v>45.243241642699999</v>
      </c>
      <c r="C134" s="43">
        <v>176.61217219559998</v>
      </c>
      <c r="D134" s="43">
        <v>2375999.9999441472</v>
      </c>
      <c r="E134" s="43">
        <v>977.76807839541607</v>
      </c>
      <c r="F134" s="43">
        <v>956.153377108776</v>
      </c>
      <c r="G134" s="43">
        <v>0</v>
      </c>
      <c r="H134" s="43">
        <v>158.62389539789999</v>
      </c>
      <c r="I134" s="43">
        <f t="shared" si="0"/>
        <v>2430.0241053515724</v>
      </c>
    </row>
    <row r="135" spans="1:9" ht="15.75" customHeight="1">
      <c r="A135" s="21">
        <v>42868</v>
      </c>
      <c r="B135" s="43">
        <v>45.243241642699999</v>
      </c>
      <c r="C135" s="43">
        <v>211.49852719719996</v>
      </c>
      <c r="D135" s="43">
        <v>1555199.9999634419</v>
      </c>
      <c r="E135" s="43">
        <v>959.38233336052804</v>
      </c>
      <c r="F135" s="43">
        <v>956.61141193464005</v>
      </c>
      <c r="G135" s="43">
        <v>29.442932855952002</v>
      </c>
      <c r="H135" s="43">
        <v>154.2631010227</v>
      </c>
      <c r="I135" s="43">
        <f t="shared" si="0"/>
        <v>1621.0429834744627</v>
      </c>
    </row>
    <row r="136" spans="1:9" ht="15.75" customHeight="1">
      <c r="A136" s="21">
        <v>42869</v>
      </c>
      <c r="B136" s="43">
        <v>45.243241642699999</v>
      </c>
      <c r="C136" s="43">
        <v>202.2318391499</v>
      </c>
      <c r="D136" s="43">
        <v>1166399.9999725814</v>
      </c>
      <c r="E136" s="43">
        <v>951.19070225995199</v>
      </c>
      <c r="F136" s="43">
        <v>956.36157475689606</v>
      </c>
      <c r="G136" s="43">
        <v>0</v>
      </c>
      <c r="H136" s="43">
        <v>155.8983989134</v>
      </c>
      <c r="I136" s="43">
        <f t="shared" si="0"/>
        <v>1226.2525245477163</v>
      </c>
    </row>
    <row r="137" spans="1:9" ht="15.75" customHeight="1">
      <c r="A137" s="21">
        <v>42870</v>
      </c>
      <c r="B137" s="43">
        <v>44.698142345799994</v>
      </c>
      <c r="C137" s="43">
        <v>197.32594547779999</v>
      </c>
      <c r="D137" s="43">
        <v>1097279.9999742061</v>
      </c>
      <c r="E137" s="43">
        <v>951.28155214276808</v>
      </c>
      <c r="F137" s="43">
        <v>956.86124911238403</v>
      </c>
      <c r="G137" s="43">
        <v>0</v>
      </c>
      <c r="H137" s="43">
        <v>153.71800172579998</v>
      </c>
      <c r="I137" s="43">
        <f t="shared" si="0"/>
        <v>1153.4755378179841</v>
      </c>
    </row>
    <row r="138" spans="1:9" ht="15.75" customHeight="1">
      <c r="A138" s="21">
        <v>42871</v>
      </c>
      <c r="B138" s="43">
        <v>46.878539533399994</v>
      </c>
      <c r="C138" s="43">
        <v>222.94561243209998</v>
      </c>
      <c r="D138" s="43">
        <v>1010879.9999762372</v>
      </c>
      <c r="E138" s="43">
        <v>951.31183543704003</v>
      </c>
      <c r="F138" s="43">
        <v>958.78045288687201</v>
      </c>
      <c r="G138" s="43">
        <v>0</v>
      </c>
      <c r="H138" s="43">
        <v>173.88667571109997</v>
      </c>
      <c r="I138" s="43">
        <f t="shared" si="0"/>
        <v>1062.6168647547952</v>
      </c>
    </row>
    <row r="139" spans="1:9" ht="15.75" customHeight="1">
      <c r="A139" s="21">
        <v>42872</v>
      </c>
      <c r="B139" s="43">
        <v>48.513837424099997</v>
      </c>
      <c r="C139" s="43">
        <v>251.29077587089998</v>
      </c>
      <c r="D139" s="43">
        <v>1019519.999976034</v>
      </c>
      <c r="E139" s="43">
        <v>951.15663355389609</v>
      </c>
      <c r="F139" s="43">
        <v>961.83149478477605</v>
      </c>
      <c r="G139" s="43">
        <v>30.88896015744</v>
      </c>
      <c r="H139" s="43">
        <v>166.8003848514</v>
      </c>
      <c r="I139" s="43">
        <f t="shared" si="0"/>
        <v>1071.8739311807199</v>
      </c>
    </row>
    <row r="140" spans="1:9" ht="15.75" customHeight="1">
      <c r="A140" s="21">
        <v>42873</v>
      </c>
      <c r="B140" s="43">
        <v>48.513837424099997</v>
      </c>
      <c r="C140" s="43">
        <v>234.93779696389998</v>
      </c>
      <c r="D140" s="43">
        <v>1209599.999971566</v>
      </c>
      <c r="E140" s="43">
        <v>951.25505426028008</v>
      </c>
      <c r="F140" s="43">
        <v>963.87183173635208</v>
      </c>
      <c r="G140" s="43">
        <v>0</v>
      </c>
      <c r="H140" s="43">
        <v>165.16508696069999</v>
      </c>
      <c r="I140" s="43">
        <f t="shared" si="0"/>
        <v>1271.583256829244</v>
      </c>
    </row>
    <row r="141" spans="1:9" ht="15.75" customHeight="1">
      <c r="A141" s="21">
        <v>42874</v>
      </c>
      <c r="B141" s="43">
        <v>47.968738127199998</v>
      </c>
      <c r="C141" s="43">
        <v>216.94952016619996</v>
      </c>
      <c r="D141" s="43">
        <v>1304639.9999693318</v>
      </c>
      <c r="E141" s="43">
        <v>864.59562228916798</v>
      </c>
      <c r="F141" s="43">
        <v>949.26014225011204</v>
      </c>
      <c r="G141" s="43">
        <v>28.284596850048001</v>
      </c>
      <c r="H141" s="43">
        <v>159.7140939917</v>
      </c>
      <c r="I141" s="43">
        <f t="shared" si="0"/>
        <v>1508.959756834148</v>
      </c>
    </row>
    <row r="142" spans="1:9" ht="15.75" customHeight="1">
      <c r="A142" s="21">
        <v>42875</v>
      </c>
      <c r="B142" s="43">
        <v>48.513837424099997</v>
      </c>
      <c r="C142" s="43">
        <v>205.5024349313</v>
      </c>
      <c r="D142" s="43">
        <v>1658879.9999610046</v>
      </c>
      <c r="E142" s="43">
        <v>841.08064428696002</v>
      </c>
      <c r="F142" s="43">
        <v>925.15464000960003</v>
      </c>
      <c r="G142" s="43">
        <v>0</v>
      </c>
      <c r="H142" s="43">
        <v>158.07879610099999</v>
      </c>
      <c r="I142" s="43">
        <f t="shared" si="0"/>
        <v>1972.3197902947195</v>
      </c>
    </row>
    <row r="143" spans="1:9" ht="15.75" customHeight="1">
      <c r="A143" s="21">
        <v>42876</v>
      </c>
      <c r="B143" s="43">
        <v>47.968738127199998</v>
      </c>
      <c r="C143" s="43">
        <v>188.0592574305</v>
      </c>
      <c r="D143" s="43">
        <v>1874879.999955927</v>
      </c>
      <c r="E143" s="43">
        <v>837.46936144502399</v>
      </c>
      <c r="F143" s="43">
        <v>941.4319106808</v>
      </c>
      <c r="G143" s="43">
        <v>21.009035401200002</v>
      </c>
      <c r="H143" s="43">
        <v>154.2631010227</v>
      </c>
      <c r="I143" s="43">
        <f t="shared" si="0"/>
        <v>2238.7445872896024</v>
      </c>
    </row>
    <row r="144" spans="1:9" ht="15.75" customHeight="1">
      <c r="A144" s="21">
        <v>42877</v>
      </c>
      <c r="B144" s="43">
        <v>46.878539533399994</v>
      </c>
      <c r="C144" s="43">
        <v>174.97687430490001</v>
      </c>
      <c r="D144" s="43">
        <v>2185919.9999486152</v>
      </c>
      <c r="E144" s="43">
        <v>871.99231691510408</v>
      </c>
      <c r="F144" s="43">
        <v>946.04632764549604</v>
      </c>
      <c r="G144" s="43">
        <v>0</v>
      </c>
      <c r="H144" s="43">
        <v>152.08270383509998</v>
      </c>
      <c r="I144" s="43">
        <f t="shared" si="0"/>
        <v>2506.8110779712674</v>
      </c>
    </row>
    <row r="145" spans="1:9" ht="15.75" customHeight="1">
      <c r="A145" s="21">
        <v>42878</v>
      </c>
      <c r="B145" s="43">
        <v>47.968738127199998</v>
      </c>
      <c r="C145" s="43">
        <v>168.43568274209997</v>
      </c>
      <c r="D145" s="43">
        <v>3049919.9999283054</v>
      </c>
      <c r="E145" s="43">
        <v>923.701041884544</v>
      </c>
      <c r="F145" s="43">
        <v>947.23116153388798</v>
      </c>
      <c r="G145" s="43">
        <v>26.145839192088001</v>
      </c>
      <c r="H145" s="43">
        <v>150.4474059444</v>
      </c>
      <c r="I145" s="43">
        <f t="shared" si="0"/>
        <v>3301.8475260197047</v>
      </c>
    </row>
    <row r="146" spans="1:9" ht="15.75" customHeight="1">
      <c r="A146" s="21">
        <v>42879</v>
      </c>
      <c r="B146" s="43">
        <v>77.949199456700001</v>
      </c>
      <c r="C146" s="43">
        <v>156.44349821029999</v>
      </c>
      <c r="D146" s="43">
        <v>2591999.9999390696</v>
      </c>
      <c r="E146" s="43">
        <v>951.26262508384809</v>
      </c>
      <c r="F146" s="43">
        <v>947.31822600492001</v>
      </c>
      <c r="G146" s="43">
        <v>0</v>
      </c>
      <c r="H146" s="43">
        <v>152.08270383509998</v>
      </c>
      <c r="I146" s="43">
        <f t="shared" si="0"/>
        <v>2724.7995785712706</v>
      </c>
    </row>
    <row r="147" spans="1:9" ht="15.75" customHeight="1">
      <c r="A147" s="21">
        <v>42880</v>
      </c>
      <c r="B147" s="43">
        <v>83.94529172259999</v>
      </c>
      <c r="C147" s="43">
        <v>155.8983989134</v>
      </c>
      <c r="D147" s="43">
        <v>1373759.9999677069</v>
      </c>
      <c r="E147" s="43">
        <v>951.22098555422406</v>
      </c>
      <c r="F147" s="43">
        <v>946.86019117905607</v>
      </c>
      <c r="G147" s="43">
        <v>22.258221289920002</v>
      </c>
      <c r="H147" s="43">
        <v>152.627803132</v>
      </c>
      <c r="I147" s="43">
        <f t="shared" si="0"/>
        <v>1444.2069937799918</v>
      </c>
    </row>
    <row r="148" spans="1:9" ht="15.75" customHeight="1">
      <c r="A148" s="21">
        <v>42881</v>
      </c>
      <c r="B148" s="43">
        <v>46.878539533399994</v>
      </c>
      <c r="C148" s="43">
        <v>70.317809300099995</v>
      </c>
      <c r="D148" s="43">
        <v>1235519.9999709565</v>
      </c>
      <c r="E148" s="43">
        <v>899.25106717168808</v>
      </c>
      <c r="F148" s="43">
        <v>921.65691952118402</v>
      </c>
      <c r="G148" s="43">
        <v>23.496050943288001</v>
      </c>
      <c r="H148" s="43">
        <v>150.4474059444</v>
      </c>
      <c r="I148" s="43">
        <f t="shared" si="0"/>
        <v>1373.943323589147</v>
      </c>
    </row>
    <row r="149" spans="1:9" ht="15.75" customHeight="1">
      <c r="A149" s="21">
        <v>42882</v>
      </c>
      <c r="B149" s="43">
        <v>46.878539533399994</v>
      </c>
      <c r="C149" s="43">
        <v>81.219795238099991</v>
      </c>
      <c r="D149" s="43">
        <v>1252799.9999705504</v>
      </c>
      <c r="E149" s="43">
        <v>898.53183893272808</v>
      </c>
      <c r="F149" s="43">
        <v>928.80756238115998</v>
      </c>
      <c r="G149" s="43">
        <v>0</v>
      </c>
      <c r="H149" s="43">
        <v>148.8121080537</v>
      </c>
      <c r="I149" s="43">
        <f t="shared" si="0"/>
        <v>1394.2744660652431</v>
      </c>
    </row>
    <row r="150" spans="1:9" ht="15.75" customHeight="1">
      <c r="A150" s="21">
        <v>42883</v>
      </c>
      <c r="B150" s="43">
        <v>47.968738127199998</v>
      </c>
      <c r="C150" s="43">
        <v>146.08661156919999</v>
      </c>
      <c r="D150" s="43">
        <v>1235519.9999709565</v>
      </c>
      <c r="E150" s="43">
        <v>892.84615043316001</v>
      </c>
      <c r="F150" s="43">
        <v>929.21638685383209</v>
      </c>
      <c r="G150" s="43">
        <v>31.918592162688</v>
      </c>
      <c r="H150" s="43">
        <v>146.08661156919999</v>
      </c>
      <c r="I150" s="43">
        <f t="shared" si="0"/>
        <v>1383.7994366347998</v>
      </c>
    </row>
    <row r="151" spans="1:9" ht="15.75" customHeight="1">
      <c r="A151" s="21">
        <v>42884</v>
      </c>
      <c r="B151" s="43">
        <v>47.968738127199998</v>
      </c>
      <c r="C151" s="43">
        <v>140.0905193033</v>
      </c>
      <c r="D151" s="43">
        <v>1218239.9999713628</v>
      </c>
      <c r="E151" s="43">
        <v>877.56822847293608</v>
      </c>
      <c r="F151" s="43">
        <v>942.99907115937606</v>
      </c>
      <c r="G151" s="43">
        <v>0</v>
      </c>
      <c r="H151" s="43">
        <v>148.8121080537</v>
      </c>
      <c r="I151" s="43">
        <f t="shared" si="0"/>
        <v>1388.1997552386697</v>
      </c>
    </row>
    <row r="152" spans="1:9" ht="15.75" customHeight="1">
      <c r="A152" s="21">
        <v>42885</v>
      </c>
      <c r="B152" s="43">
        <v>46.878539533399994</v>
      </c>
      <c r="C152" s="43">
        <v>133.00422844359997</v>
      </c>
      <c r="D152" s="43">
        <v>1123199.999973597</v>
      </c>
      <c r="E152" s="43">
        <v>898.49019940310404</v>
      </c>
      <c r="F152" s="43">
        <v>939.68683584837606</v>
      </c>
      <c r="G152" s="43">
        <v>28.719919205208001</v>
      </c>
      <c r="H152" s="43">
        <v>146.63171086609998</v>
      </c>
      <c r="I152" s="43">
        <f t="shared" si="0"/>
        <v>1250.0971081485084</v>
      </c>
    </row>
    <row r="153" spans="1:9" ht="15.75" customHeight="1">
      <c r="A153" s="21">
        <v>42886</v>
      </c>
      <c r="B153" s="43">
        <v>47.968738127199998</v>
      </c>
      <c r="C153" s="43">
        <v>134.09442703740001</v>
      </c>
      <c r="D153" s="43">
        <v>1529279.9999640509</v>
      </c>
      <c r="E153" s="43">
        <v>898.31607046104</v>
      </c>
      <c r="F153" s="43">
        <v>936.88941654000007</v>
      </c>
      <c r="G153" s="43">
        <v>0</v>
      </c>
      <c r="H153" s="43">
        <v>147.72190945989999</v>
      </c>
      <c r="I153" s="43">
        <f t="shared" si="0"/>
        <v>1702.385218578115</v>
      </c>
    </row>
    <row r="154" spans="1:9" ht="15.75" customHeight="1">
      <c r="A154" s="21">
        <v>42887</v>
      </c>
      <c r="B154" s="43">
        <v>48.513837424099997</v>
      </c>
      <c r="C154" s="43">
        <v>131.91402984979999</v>
      </c>
      <c r="D154" s="43">
        <v>1062719.9999750184</v>
      </c>
      <c r="E154" s="43">
        <v>906.537984855888</v>
      </c>
      <c r="F154" s="43">
        <v>932.642184518352</v>
      </c>
      <c r="G154" s="43">
        <v>0</v>
      </c>
      <c r="H154" s="43">
        <v>141.18071789709998</v>
      </c>
      <c r="I154" s="43">
        <f t="shared" si="0"/>
        <v>1172.2840275070864</v>
      </c>
    </row>
    <row r="155" spans="1:9" ht="15.75" customHeight="1">
      <c r="A155" s="21">
        <v>42888</v>
      </c>
      <c r="B155" s="43">
        <v>50.149135314799992</v>
      </c>
      <c r="C155" s="43">
        <v>130.82383125600001</v>
      </c>
      <c r="D155" s="43">
        <v>852767.99997995398</v>
      </c>
      <c r="E155" s="43">
        <v>924.68146353660006</v>
      </c>
      <c r="F155" s="43">
        <v>927.74764708164003</v>
      </c>
      <c r="G155" s="43">
        <v>44.963121170352004</v>
      </c>
      <c r="H155" s="43">
        <v>142.27091649089999</v>
      </c>
      <c r="I155" s="43">
        <f t="shared" si="0"/>
        <v>922.22893353825771</v>
      </c>
    </row>
    <row r="156" spans="1:9" ht="15.75" customHeight="1">
      <c r="A156" s="21">
        <v>42889</v>
      </c>
      <c r="B156" s="43">
        <v>48.513837424099997</v>
      </c>
      <c r="C156" s="43">
        <v>125.9179375839</v>
      </c>
      <c r="D156" s="43">
        <v>775007.99998178182</v>
      </c>
      <c r="E156" s="43">
        <v>905.614344380592</v>
      </c>
      <c r="F156" s="43">
        <v>923.674544002056</v>
      </c>
      <c r="G156" s="43">
        <v>0</v>
      </c>
      <c r="H156" s="43">
        <v>139.54542000640001</v>
      </c>
      <c r="I156" s="43">
        <f t="shared" si="0"/>
        <v>855.78149771010942</v>
      </c>
    </row>
    <row r="157" spans="1:9" ht="15.75" customHeight="1">
      <c r="A157" s="21">
        <v>42890</v>
      </c>
      <c r="B157" s="43">
        <v>49.058936720999995</v>
      </c>
      <c r="C157" s="43">
        <v>125.9179375839</v>
      </c>
      <c r="D157" s="43">
        <v>709343.99998332537</v>
      </c>
      <c r="E157" s="43">
        <v>868.32046748462403</v>
      </c>
      <c r="F157" s="43">
        <v>919.21532892050402</v>
      </c>
      <c r="G157" s="43">
        <v>0</v>
      </c>
      <c r="H157" s="43">
        <v>141.18071789709998</v>
      </c>
      <c r="I157" s="43">
        <f t="shared" si="0"/>
        <v>816.9149830570891</v>
      </c>
    </row>
    <row r="158" spans="1:9" ht="15.75" customHeight="1">
      <c r="A158" s="21">
        <v>42891</v>
      </c>
      <c r="B158" s="43">
        <v>46.333440236499996</v>
      </c>
      <c r="C158" s="43">
        <v>116.65124953659999</v>
      </c>
      <c r="D158" s="43">
        <v>638495.99998499081</v>
      </c>
      <c r="E158" s="43">
        <v>814.88559474168005</v>
      </c>
      <c r="F158" s="43">
        <v>914.60091195580799</v>
      </c>
      <c r="G158" s="43">
        <v>20.2519530444</v>
      </c>
      <c r="H158" s="43">
        <v>141.18071789709998</v>
      </c>
      <c r="I158" s="43">
        <f t="shared" si="0"/>
        <v>783.54066399639203</v>
      </c>
    </row>
    <row r="159" spans="1:9" ht="15.75" customHeight="1">
      <c r="A159" s="21">
        <v>42892</v>
      </c>
      <c r="B159" s="43">
        <v>46.878539533399994</v>
      </c>
      <c r="C159" s="43">
        <v>92.121781176099987</v>
      </c>
      <c r="D159" s="43">
        <v>571967.99998655473</v>
      </c>
      <c r="E159" s="43">
        <v>833.02150259882399</v>
      </c>
      <c r="F159" s="43">
        <v>877.59851176720804</v>
      </c>
      <c r="G159" s="43">
        <v>0</v>
      </c>
      <c r="H159" s="43">
        <v>140.0905193033</v>
      </c>
      <c r="I159" s="43">
        <f t="shared" si="0"/>
        <v>686.61853049669674</v>
      </c>
    </row>
    <row r="160" spans="1:9" ht="15.75" customHeight="1">
      <c r="A160" s="21">
        <v>42893</v>
      </c>
      <c r="B160" s="43">
        <v>47.968738127199998</v>
      </c>
      <c r="C160" s="43">
        <v>115.56105094279999</v>
      </c>
      <c r="D160" s="43">
        <v>531359.99998750922</v>
      </c>
      <c r="E160" s="43">
        <v>845.56257183921605</v>
      </c>
      <c r="F160" s="43">
        <v>915.55105031359199</v>
      </c>
      <c r="G160" s="43">
        <v>21.614701286640003</v>
      </c>
      <c r="H160" s="43">
        <v>142.27091649089999</v>
      </c>
      <c r="I160" s="43">
        <f t="shared" si="0"/>
        <v>628.41002864131917</v>
      </c>
    </row>
    <row r="161" spans="1:9" ht="15.75" customHeight="1">
      <c r="A161" s="21">
        <v>42894</v>
      </c>
      <c r="B161" s="43">
        <v>46.878539533399994</v>
      </c>
      <c r="C161" s="43">
        <v>88.851185394699996</v>
      </c>
      <c r="D161" s="43">
        <v>503711.99998815916</v>
      </c>
      <c r="E161" s="43">
        <v>845.52850313316003</v>
      </c>
      <c r="F161" s="43">
        <v>914.76747007430401</v>
      </c>
      <c r="G161" s="43">
        <v>0</v>
      </c>
      <c r="H161" s="43">
        <v>149.35720735059999</v>
      </c>
      <c r="I161" s="43">
        <f t="shared" si="0"/>
        <v>595.7362739654809</v>
      </c>
    </row>
    <row r="162" spans="1:9" ht="15.75" customHeight="1">
      <c r="A162" s="21">
        <v>42895</v>
      </c>
      <c r="B162" s="43">
        <v>48.513837424099997</v>
      </c>
      <c r="C162" s="43">
        <v>114.470852349</v>
      </c>
      <c r="D162" s="43">
        <v>647999.9999847674</v>
      </c>
      <c r="E162" s="43">
        <v>847.99280620454408</v>
      </c>
      <c r="F162" s="43">
        <v>914.56684324975208</v>
      </c>
      <c r="G162" s="43">
        <v>0</v>
      </c>
      <c r="H162" s="43">
        <v>145.5415122723</v>
      </c>
      <c r="I162" s="43">
        <f t="shared" si="0"/>
        <v>764.15742591625656</v>
      </c>
    </row>
    <row r="163" spans="1:9" ht="15.75" customHeight="1">
      <c r="A163" s="21">
        <v>42896</v>
      </c>
      <c r="B163" s="43">
        <v>48.513837424099997</v>
      </c>
      <c r="C163" s="43">
        <v>113.3806537552</v>
      </c>
      <c r="D163" s="43">
        <v>491615.99998844357</v>
      </c>
      <c r="E163" s="43">
        <v>906.13673120678402</v>
      </c>
      <c r="F163" s="43">
        <v>907.73796039141598</v>
      </c>
      <c r="G163" s="43">
        <v>16.617957731760001</v>
      </c>
      <c r="H163" s="43">
        <v>146.08661156919999</v>
      </c>
      <c r="I163" s="43">
        <f t="shared" si="0"/>
        <v>542.54063769571974</v>
      </c>
    </row>
    <row r="164" spans="1:9" ht="15.75" customHeight="1">
      <c r="A164" s="21">
        <v>42897</v>
      </c>
      <c r="B164" s="43">
        <v>49.058936720999995</v>
      </c>
      <c r="C164" s="43">
        <v>115.0159516459</v>
      </c>
      <c r="D164" s="43">
        <v>565055.99998671724</v>
      </c>
      <c r="E164" s="43">
        <v>914.54413077904803</v>
      </c>
      <c r="F164" s="43">
        <v>900.65545494355206</v>
      </c>
      <c r="G164" s="43">
        <v>0</v>
      </c>
      <c r="H164" s="43">
        <v>143.90621438159999</v>
      </c>
      <c r="I164" s="43">
        <f t="shared" si="0"/>
        <v>617.85536746638809</v>
      </c>
    </row>
    <row r="165" spans="1:9" ht="15.75" customHeight="1">
      <c r="A165" s="21">
        <v>42898</v>
      </c>
      <c r="B165" s="43">
        <v>49.058936720999995</v>
      </c>
      <c r="C165" s="43">
        <v>113.3806537552</v>
      </c>
      <c r="D165" s="43">
        <v>458783.99998921534</v>
      </c>
      <c r="E165" s="43">
        <v>898.23657681357599</v>
      </c>
      <c r="F165" s="43">
        <v>896.21895233270402</v>
      </c>
      <c r="G165" s="43">
        <v>33.428971464504002</v>
      </c>
      <c r="H165" s="43">
        <v>140.0905193033</v>
      </c>
      <c r="I165" s="43">
        <f t="shared" si="0"/>
        <v>510.76076373633737</v>
      </c>
    </row>
    <row r="166" spans="1:9" ht="15.75" customHeight="1">
      <c r="A166" s="21">
        <v>42899</v>
      </c>
      <c r="B166" s="43">
        <v>46.878539533399994</v>
      </c>
      <c r="C166" s="43">
        <v>109.01985937999999</v>
      </c>
      <c r="D166" s="43">
        <v>400031.99999059644</v>
      </c>
      <c r="E166" s="43">
        <v>874.43012210400002</v>
      </c>
      <c r="F166" s="43">
        <v>893.12248549339199</v>
      </c>
      <c r="G166" s="43">
        <v>0</v>
      </c>
      <c r="H166" s="43">
        <v>142.27091649089999</v>
      </c>
      <c r="I166" s="43">
        <f t="shared" si="0"/>
        <v>457.47737855606351</v>
      </c>
    </row>
    <row r="167" spans="1:9" ht="15.75" customHeight="1">
      <c r="A167" s="21">
        <v>42900</v>
      </c>
      <c r="B167" s="43">
        <v>45.788340939599998</v>
      </c>
      <c r="C167" s="43">
        <v>104.11396570790001</v>
      </c>
      <c r="D167" s="43">
        <v>369791.99999130733</v>
      </c>
      <c r="E167" s="43">
        <v>766.01214319845599</v>
      </c>
      <c r="F167" s="43">
        <v>888.90932217780005</v>
      </c>
      <c r="G167" s="43">
        <v>32.543185107048004</v>
      </c>
      <c r="H167" s="43">
        <v>143.3611150847</v>
      </c>
      <c r="I167" s="43">
        <f t="shared" si="0"/>
        <v>482.74952724281133</v>
      </c>
    </row>
    <row r="168" spans="1:9" ht="15.75" customHeight="1">
      <c r="A168" s="21">
        <v>42901</v>
      </c>
      <c r="B168" s="43">
        <v>45.243241642699999</v>
      </c>
      <c r="C168" s="43">
        <v>103.56886641099999</v>
      </c>
      <c r="D168" s="43">
        <v>348191.99999181501</v>
      </c>
      <c r="E168" s="43">
        <v>787.58141954368807</v>
      </c>
      <c r="F168" s="43">
        <v>884.46903415516806</v>
      </c>
      <c r="G168" s="43">
        <v>0</v>
      </c>
      <c r="H168" s="43">
        <v>141.18071789709998</v>
      </c>
      <c r="I168" s="43">
        <f t="shared" si="0"/>
        <v>442.10286244887777</v>
      </c>
    </row>
    <row r="169" spans="1:9" ht="15.75" customHeight="1">
      <c r="A169" s="21">
        <v>42902</v>
      </c>
      <c r="B169" s="43">
        <v>44.698142345799994</v>
      </c>
      <c r="C169" s="43">
        <v>101.38846922339999</v>
      </c>
      <c r="D169" s="43">
        <v>344735.99999189627</v>
      </c>
      <c r="E169" s="43">
        <v>891.82030383969607</v>
      </c>
      <c r="F169" s="43">
        <v>892.75151513856008</v>
      </c>
      <c r="G169" s="43">
        <v>27.137617079496</v>
      </c>
      <c r="H169" s="43">
        <v>142.27091649089999</v>
      </c>
      <c r="I169" s="43">
        <f t="shared" si="0"/>
        <v>386.55320865386159</v>
      </c>
    </row>
    <row r="170" spans="1:9" ht="15.75" customHeight="1">
      <c r="A170" s="21">
        <v>42903</v>
      </c>
      <c r="B170" s="43">
        <v>45.788340939599998</v>
      </c>
      <c r="C170" s="43">
        <v>100.84336992649999</v>
      </c>
      <c r="D170" s="43">
        <v>302399.99999289151</v>
      </c>
      <c r="E170" s="43">
        <v>838.862392981536</v>
      </c>
      <c r="F170" s="43">
        <v>890.82474054050408</v>
      </c>
      <c r="G170" s="43">
        <v>0</v>
      </c>
      <c r="H170" s="43">
        <v>137.36502281879999</v>
      </c>
      <c r="I170" s="43">
        <f t="shared" si="0"/>
        <v>360.48820703248231</v>
      </c>
    </row>
    <row r="171" spans="1:9" ht="15.75" customHeight="1">
      <c r="A171" s="21">
        <v>42904</v>
      </c>
      <c r="B171" s="43">
        <v>44.698142345799994</v>
      </c>
      <c r="C171" s="43">
        <v>98.662972738899995</v>
      </c>
      <c r="D171" s="43">
        <v>273023.99999358202</v>
      </c>
      <c r="E171" s="43">
        <v>845.50957607424004</v>
      </c>
      <c r="F171" s="43">
        <v>905.25851567289601</v>
      </c>
      <c r="G171" s="43">
        <v>26.899136137104001</v>
      </c>
      <c r="H171" s="43">
        <v>142.81601578779998</v>
      </c>
      <c r="I171" s="43">
        <f t="shared" si="0"/>
        <v>322.91059465139534</v>
      </c>
    </row>
    <row r="172" spans="1:9" ht="15.75" customHeight="1">
      <c r="A172" s="21">
        <v>42905</v>
      </c>
      <c r="B172" s="43">
        <v>44.153043048899995</v>
      </c>
      <c r="C172" s="43">
        <v>95.937476254399996</v>
      </c>
      <c r="D172" s="43">
        <v>364607.99999142915</v>
      </c>
      <c r="E172" s="43">
        <v>857.14971731004005</v>
      </c>
      <c r="F172" s="43">
        <v>904.20995660872802</v>
      </c>
      <c r="G172" s="43">
        <v>0</v>
      </c>
      <c r="H172" s="43">
        <v>140.63561860019999</v>
      </c>
      <c r="I172" s="43">
        <f t="shared" si="0"/>
        <v>425.3725955083604</v>
      </c>
    </row>
    <row r="173" spans="1:9" ht="15.75" customHeight="1">
      <c r="A173" s="21">
        <v>42906</v>
      </c>
      <c r="B173" s="43">
        <v>45.243241642699999</v>
      </c>
      <c r="C173" s="43">
        <v>98.662972738899995</v>
      </c>
      <c r="D173" s="43">
        <v>348191.99999181501</v>
      </c>
      <c r="E173" s="43">
        <v>895.47701162304008</v>
      </c>
      <c r="F173" s="43">
        <v>919.52194727500807</v>
      </c>
      <c r="G173" s="43">
        <v>24.184995887976001</v>
      </c>
      <c r="H173" s="43">
        <v>139.00032070949999</v>
      </c>
      <c r="I173" s="43">
        <f t="shared" si="0"/>
        <v>388.83410235257929</v>
      </c>
    </row>
    <row r="174" spans="1:9" ht="15.75" customHeight="1">
      <c r="A174" s="21">
        <v>42907</v>
      </c>
      <c r="B174" s="43">
        <v>43.062844455099999</v>
      </c>
      <c r="C174" s="43">
        <v>91.03158258229999</v>
      </c>
      <c r="D174" s="43">
        <v>317951.9999925259</v>
      </c>
      <c r="E174" s="43">
        <v>888.01975040856007</v>
      </c>
      <c r="F174" s="43">
        <v>919.68093456993608</v>
      </c>
      <c r="G174" s="43">
        <v>0</v>
      </c>
      <c r="H174" s="43">
        <v>139.00032070949999</v>
      </c>
      <c r="I174" s="43">
        <f t="shared" si="0"/>
        <v>358.04609058102881</v>
      </c>
    </row>
    <row r="175" spans="1:9" ht="15.75" customHeight="1">
      <c r="A175" s="21">
        <v>42908</v>
      </c>
      <c r="B175" s="43">
        <v>41.972645861299995</v>
      </c>
      <c r="C175" s="43">
        <v>87.215887503999994</v>
      </c>
      <c r="D175" s="43">
        <v>284255.99999331799</v>
      </c>
      <c r="E175" s="43">
        <v>815.97200792368801</v>
      </c>
      <c r="F175" s="43">
        <v>918.204623974176</v>
      </c>
      <c r="G175" s="43">
        <v>36.483798774192003</v>
      </c>
      <c r="H175" s="43">
        <v>137.36502281879999</v>
      </c>
      <c r="I175" s="43">
        <f t="shared" si="0"/>
        <v>348.36489148277548</v>
      </c>
    </row>
    <row r="176" spans="1:9" ht="15.75" customHeight="1">
      <c r="A176" s="21">
        <v>42909</v>
      </c>
      <c r="B176" s="43">
        <v>43.607943751999997</v>
      </c>
      <c r="C176" s="43">
        <v>88.306086097799991</v>
      </c>
      <c r="D176" s="43">
        <v>256607.99999396791</v>
      </c>
      <c r="E176" s="43">
        <v>820.15110253322405</v>
      </c>
      <c r="F176" s="43">
        <v>916.67153220165608</v>
      </c>
      <c r="G176" s="43">
        <v>0</v>
      </c>
      <c r="H176" s="43">
        <v>135.72972492809998</v>
      </c>
      <c r="I176" s="43">
        <f t="shared" si="0"/>
        <v>312.87893072554004</v>
      </c>
    </row>
    <row r="177" spans="1:9" ht="15.75" customHeight="1">
      <c r="A177" s="21">
        <v>42910</v>
      </c>
      <c r="B177" s="43">
        <v>43.062844455099999</v>
      </c>
      <c r="C177" s="43">
        <v>85.035490316399986</v>
      </c>
      <c r="D177" s="43">
        <v>240191.9999943538</v>
      </c>
      <c r="E177" s="43">
        <v>886.18004028153598</v>
      </c>
      <c r="F177" s="43">
        <v>914.84696372176802</v>
      </c>
      <c r="G177" s="43">
        <v>26.319968134152003</v>
      </c>
      <c r="H177" s="43">
        <v>135.18462563119999</v>
      </c>
      <c r="I177" s="43">
        <f t="shared" si="0"/>
        <v>271.04198816985962</v>
      </c>
    </row>
    <row r="178" spans="1:9" ht="15.75" customHeight="1">
      <c r="A178" s="21">
        <v>42911</v>
      </c>
      <c r="B178" s="43">
        <v>48.513837424099997</v>
      </c>
      <c r="C178" s="43">
        <v>82.855093128799993</v>
      </c>
      <c r="D178" s="43">
        <v>223775.99999473966</v>
      </c>
      <c r="E178" s="43">
        <v>892.588742431848</v>
      </c>
      <c r="F178" s="43">
        <v>913.14731383075207</v>
      </c>
      <c r="G178" s="43">
        <v>0</v>
      </c>
      <c r="H178" s="43">
        <v>132.45912914670001</v>
      </c>
      <c r="I178" s="43">
        <f t="shared" si="0"/>
        <v>250.70448388701885</v>
      </c>
    </row>
    <row r="179" spans="1:9" ht="15.75" customHeight="1">
      <c r="A179" s="21">
        <v>42912</v>
      </c>
      <c r="B179" s="43">
        <v>46.878539533399994</v>
      </c>
      <c r="C179" s="43">
        <v>80.6746959412</v>
      </c>
      <c r="D179" s="43">
        <v>202175.99999524746</v>
      </c>
      <c r="E179" s="43">
        <v>871.670556913464</v>
      </c>
      <c r="F179" s="43">
        <v>911.04262487884807</v>
      </c>
      <c r="G179" s="43">
        <v>0</v>
      </c>
      <c r="H179" s="43">
        <v>137.91012211570001</v>
      </c>
      <c r="I179" s="43">
        <f t="shared" si="0"/>
        <v>231.94083864796491</v>
      </c>
    </row>
    <row r="180" spans="1:9" ht="15.75" customHeight="1">
      <c r="A180" s="21">
        <v>42913</v>
      </c>
      <c r="B180" s="43">
        <v>34.341255704699996</v>
      </c>
      <c r="C180" s="43">
        <v>71.408007893899992</v>
      </c>
      <c r="D180" s="43">
        <v>185759.99999563332</v>
      </c>
      <c r="E180" s="43">
        <v>871.81440256125609</v>
      </c>
      <c r="F180" s="43">
        <v>908.14678486408809</v>
      </c>
      <c r="G180" s="43">
        <v>22.12573187748</v>
      </c>
      <c r="H180" s="43">
        <v>135.72972492809998</v>
      </c>
      <c r="I180" s="43">
        <f t="shared" si="0"/>
        <v>213.07287359545694</v>
      </c>
    </row>
    <row r="181" spans="1:9" ht="15.75" customHeight="1">
      <c r="A181" s="21">
        <v>42914</v>
      </c>
      <c r="B181" s="43">
        <v>39.792248673699994</v>
      </c>
      <c r="C181" s="43">
        <v>101.93356852029999</v>
      </c>
      <c r="D181" s="43">
        <v>177119.99999583644</v>
      </c>
      <c r="E181" s="43">
        <v>871.92417950299205</v>
      </c>
      <c r="F181" s="43">
        <v>901.965207420816</v>
      </c>
      <c r="G181" s="43">
        <v>0</v>
      </c>
      <c r="H181" s="43">
        <v>137.36502281879999</v>
      </c>
      <c r="I181" s="43">
        <f t="shared" si="0"/>
        <v>203.13692882883132</v>
      </c>
    </row>
    <row r="182" spans="1:9" ht="15.75" customHeight="1">
      <c r="A182" s="21">
        <v>42915</v>
      </c>
      <c r="B182" s="43">
        <v>22.894170469799999</v>
      </c>
      <c r="C182" s="43">
        <v>74.678603675299996</v>
      </c>
      <c r="D182" s="43">
        <v>190943.99999551146</v>
      </c>
      <c r="E182" s="43">
        <v>871.94310656191203</v>
      </c>
      <c r="F182" s="43">
        <v>901.39739565321599</v>
      </c>
      <c r="G182" s="43">
        <v>0</v>
      </c>
      <c r="H182" s="43">
        <v>136.81992352189999</v>
      </c>
      <c r="I182" s="43">
        <f t="shared" si="0"/>
        <v>218.98676479983564</v>
      </c>
    </row>
    <row r="183" spans="1:9" ht="15.75" customHeight="1">
      <c r="A183" s="21">
        <v>42916</v>
      </c>
      <c r="B183" s="43">
        <v>40.882447267499998</v>
      </c>
      <c r="C183" s="43">
        <v>76.85900086289999</v>
      </c>
      <c r="D183" s="43">
        <v>167615.99999605984</v>
      </c>
      <c r="E183" s="43">
        <v>884.13591791817601</v>
      </c>
      <c r="F183" s="43">
        <v>898.48641399132009</v>
      </c>
      <c r="G183" s="43">
        <v>26.138268368520002</v>
      </c>
      <c r="H183" s="43">
        <v>134.6395263343</v>
      </c>
      <c r="I183" s="43">
        <f t="shared" si="0"/>
        <v>189.5817109101682</v>
      </c>
    </row>
    <row r="184" spans="1:9" ht="15.75" customHeight="1">
      <c r="A184" s="21">
        <v>42917</v>
      </c>
      <c r="B184" s="43">
        <v>45.788340939599998</v>
      </c>
      <c r="C184" s="43">
        <v>72.498206487700003</v>
      </c>
      <c r="D184" s="43">
        <v>159839.99999624264</v>
      </c>
      <c r="E184" s="43">
        <v>650.55329837467207</v>
      </c>
      <c r="F184" s="43">
        <v>621.40184222608798</v>
      </c>
      <c r="G184" s="43">
        <v>0</v>
      </c>
      <c r="H184" s="43">
        <v>136.274824225</v>
      </c>
      <c r="I184" s="43">
        <f t="shared" si="0"/>
        <v>245.69854675333036</v>
      </c>
    </row>
    <row r="185" spans="1:9" ht="15.75" customHeight="1">
      <c r="A185" s="21">
        <v>42918</v>
      </c>
      <c r="B185" s="43">
        <v>46.333440236499996</v>
      </c>
      <c r="C185" s="43">
        <v>71.953107190799997</v>
      </c>
      <c r="D185" s="43">
        <v>140831.99999668944</v>
      </c>
      <c r="E185" s="43">
        <v>627.37143660945605</v>
      </c>
      <c r="F185" s="43">
        <v>573.58830598238399</v>
      </c>
      <c r="G185" s="43">
        <v>0</v>
      </c>
      <c r="H185" s="43">
        <v>133.54932774049999</v>
      </c>
      <c r="I185" s="43">
        <f t="shared" si="0"/>
        <v>224.47945790741909</v>
      </c>
    </row>
    <row r="186" spans="1:9" ht="15.75" customHeight="1">
      <c r="A186" s="21">
        <v>42919</v>
      </c>
      <c r="B186" s="43">
        <v>40.882447267499998</v>
      </c>
      <c r="C186" s="43">
        <v>73.043305784599994</v>
      </c>
      <c r="D186" s="43">
        <v>130463.99999693317</v>
      </c>
      <c r="E186" s="43">
        <v>635.90754018237601</v>
      </c>
      <c r="F186" s="43">
        <v>662.46977467070406</v>
      </c>
      <c r="G186" s="43">
        <v>0</v>
      </c>
      <c r="H186" s="43">
        <v>134.09442703740001</v>
      </c>
      <c r="I186" s="43">
        <f t="shared" si="0"/>
        <v>205.1619013033193</v>
      </c>
    </row>
    <row r="187" spans="1:9" ht="15.75" customHeight="1">
      <c r="A187" s="21">
        <v>42920</v>
      </c>
      <c r="B187" s="43">
        <v>45.788340939599998</v>
      </c>
      <c r="C187" s="43">
        <v>75.223702972200002</v>
      </c>
      <c r="D187" s="43">
        <v>120959.99999715658</v>
      </c>
      <c r="E187" s="43">
        <v>766.08406602235198</v>
      </c>
      <c r="F187" s="43">
        <v>859.54966838109601</v>
      </c>
      <c r="G187" s="43">
        <v>67.830793757495996</v>
      </c>
      <c r="H187" s="43">
        <v>133.00422844359997</v>
      </c>
      <c r="I187" s="43">
        <f t="shared" si="0"/>
        <v>157.89389880565321</v>
      </c>
    </row>
    <row r="188" spans="1:9" ht="15.75" customHeight="1">
      <c r="A188" s="21">
        <v>42921</v>
      </c>
      <c r="B188" s="43">
        <v>39.792248673699994</v>
      </c>
      <c r="C188" s="43">
        <v>145.5415122723</v>
      </c>
      <c r="D188" s="43">
        <v>114047.99999731907</v>
      </c>
      <c r="E188" s="43">
        <v>766.18627214052003</v>
      </c>
      <c r="F188" s="43">
        <v>878.14361106410399</v>
      </c>
      <c r="G188" s="43">
        <v>0</v>
      </c>
      <c r="H188" s="43">
        <v>133.00422844359997</v>
      </c>
      <c r="I188" s="43">
        <f t="shared" si="0"/>
        <v>148.85153146727544</v>
      </c>
    </row>
    <row r="189" spans="1:9" ht="15.75" customHeight="1">
      <c r="A189" s="21">
        <v>42922</v>
      </c>
      <c r="B189" s="43">
        <v>0</v>
      </c>
      <c r="C189" s="43">
        <v>61.5962205497</v>
      </c>
      <c r="D189" s="43">
        <v>105407.99999752217</v>
      </c>
      <c r="E189" s="43">
        <v>766.23926790549604</v>
      </c>
      <c r="F189" s="43">
        <v>875.66416634558402</v>
      </c>
      <c r="G189" s="43">
        <v>0</v>
      </c>
      <c r="H189" s="43">
        <v>130.82383125600001</v>
      </c>
      <c r="I189" s="43">
        <f t="shared" si="0"/>
        <v>137.56538513831771</v>
      </c>
    </row>
    <row r="190" spans="1:9" ht="15.75" customHeight="1">
      <c r="A190" s="21">
        <v>42923</v>
      </c>
      <c r="B190" s="43">
        <v>33.251057110899993</v>
      </c>
      <c r="C190" s="43">
        <v>65.957014924899994</v>
      </c>
      <c r="D190" s="43">
        <v>99359.999997664345</v>
      </c>
      <c r="E190" s="43">
        <v>843.26482688632802</v>
      </c>
      <c r="F190" s="43">
        <v>899.66746246792809</v>
      </c>
      <c r="G190" s="43">
        <v>33.822654290039999</v>
      </c>
      <c r="H190" s="43">
        <v>131.3689305529</v>
      </c>
      <c r="I190" s="43">
        <f t="shared" si="0"/>
        <v>117.8277533103584</v>
      </c>
    </row>
    <row r="191" spans="1:9" ht="15.75" customHeight="1">
      <c r="A191" s="21">
        <v>42924</v>
      </c>
      <c r="B191" s="43">
        <v>37.611851486100001</v>
      </c>
      <c r="C191" s="43">
        <v>65.957014924899994</v>
      </c>
      <c r="D191" s="43">
        <v>95039.999997765903</v>
      </c>
      <c r="E191" s="43">
        <v>910.81171476002407</v>
      </c>
      <c r="F191" s="43">
        <v>905.25094484932799</v>
      </c>
      <c r="G191" s="43">
        <v>0</v>
      </c>
      <c r="H191" s="43">
        <v>129.73363266219999</v>
      </c>
      <c r="I191" s="43">
        <f t="shared" si="0"/>
        <v>104.34648397424988</v>
      </c>
    </row>
    <row r="192" spans="1:9" ht="15.75" customHeight="1">
      <c r="A192" s="21">
        <v>42925</v>
      </c>
      <c r="B192" s="43">
        <v>37.611851486100001</v>
      </c>
      <c r="C192" s="43">
        <v>64.321717034200006</v>
      </c>
      <c r="D192" s="43">
        <v>88127.999997928375</v>
      </c>
      <c r="E192" s="43">
        <v>924.651180242328</v>
      </c>
      <c r="F192" s="43">
        <v>895.59057397655999</v>
      </c>
      <c r="G192" s="43">
        <v>25.116207186840001</v>
      </c>
      <c r="H192" s="43">
        <v>132.45912914670001</v>
      </c>
      <c r="I192" s="43">
        <f t="shared" si="0"/>
        <v>95.309454939355859</v>
      </c>
    </row>
    <row r="193" spans="1:9" ht="15.75" customHeight="1">
      <c r="A193" s="21">
        <v>42926</v>
      </c>
      <c r="B193" s="43">
        <v>35.4314542985</v>
      </c>
      <c r="C193" s="43">
        <v>60.506021955899996</v>
      </c>
      <c r="D193" s="43">
        <v>84758.399998007575</v>
      </c>
      <c r="E193" s="43">
        <v>852.23625281440809</v>
      </c>
      <c r="F193" s="43">
        <v>868.54759219166408</v>
      </c>
      <c r="G193" s="43">
        <v>0</v>
      </c>
      <c r="H193" s="43">
        <v>133.00422844359997</v>
      </c>
      <c r="I193" s="43">
        <f t="shared" si="0"/>
        <v>99.454112305247648</v>
      </c>
    </row>
    <row r="194" spans="1:9" ht="15.75" customHeight="1">
      <c r="A194" s="21">
        <v>42927</v>
      </c>
      <c r="B194" s="43">
        <v>34.886355001600002</v>
      </c>
      <c r="C194" s="43">
        <v>61.051121252799994</v>
      </c>
      <c r="D194" s="43">
        <v>81647.999998080704</v>
      </c>
      <c r="E194" s="43">
        <v>859.68215779353602</v>
      </c>
      <c r="F194" s="43">
        <v>880.76690143041606</v>
      </c>
      <c r="G194" s="43">
        <v>25.472035894536003</v>
      </c>
      <c r="H194" s="43">
        <v>128.64343406840001</v>
      </c>
      <c r="I194" s="43">
        <f t="shared" si="0"/>
        <v>94.974635983650998</v>
      </c>
    </row>
    <row r="195" spans="1:9" ht="15.75" customHeight="1">
      <c r="A195" s="21">
        <v>42928</v>
      </c>
      <c r="B195" s="43">
        <v>34.886355001600002</v>
      </c>
      <c r="C195" s="43">
        <v>61.051121252799994</v>
      </c>
      <c r="D195" s="43">
        <v>79833.599998123347</v>
      </c>
      <c r="E195" s="43">
        <v>816.24455757213605</v>
      </c>
      <c r="F195" s="43">
        <v>879.88868589652805</v>
      </c>
      <c r="G195" s="43">
        <v>0</v>
      </c>
      <c r="H195" s="43">
        <v>130.27873195909999</v>
      </c>
      <c r="I195" s="43">
        <f t="shared" si="0"/>
        <v>97.80598137840326</v>
      </c>
    </row>
    <row r="196" spans="1:9" ht="15.75" customHeight="1">
      <c r="A196" s="21">
        <v>42929</v>
      </c>
      <c r="B196" s="43">
        <v>33.796156407799998</v>
      </c>
      <c r="C196" s="43">
        <v>58.325624768299996</v>
      </c>
      <c r="D196" s="43">
        <v>78019.199998166005</v>
      </c>
      <c r="E196" s="43">
        <v>803.18867232911998</v>
      </c>
      <c r="F196" s="43">
        <v>877.04205623496</v>
      </c>
      <c r="G196" s="43">
        <v>0</v>
      </c>
      <c r="H196" s="43">
        <v>131.91402984979999</v>
      </c>
      <c r="I196" s="43">
        <f t="shared" ref="I196:I259" si="1">D196/E196</f>
        <v>97.136828102820076</v>
      </c>
    </row>
    <row r="197" spans="1:9" ht="15.75" customHeight="1">
      <c r="A197" s="21">
        <v>42930</v>
      </c>
      <c r="B197" s="43">
        <v>33.251057110899993</v>
      </c>
      <c r="C197" s="43">
        <v>60.506021955899996</v>
      </c>
      <c r="D197" s="43">
        <v>73439.999998273634</v>
      </c>
      <c r="E197" s="43">
        <v>845.308949249688</v>
      </c>
      <c r="F197" s="43">
        <v>878.63192918423999</v>
      </c>
      <c r="G197" s="43">
        <v>37.176529130664001</v>
      </c>
      <c r="H197" s="43">
        <v>104.65906500479998</v>
      </c>
      <c r="I197" s="43">
        <f t="shared" si="1"/>
        <v>86.879477690920396</v>
      </c>
    </row>
    <row r="198" spans="1:9" ht="15.75" customHeight="1">
      <c r="A198" s="21">
        <v>42931</v>
      </c>
      <c r="B198" s="43">
        <v>35.4314542985</v>
      </c>
      <c r="C198" s="43">
        <v>57.780525471399997</v>
      </c>
      <c r="D198" s="43">
        <v>69551.999998365034</v>
      </c>
      <c r="E198" s="43">
        <v>845.37708666180004</v>
      </c>
      <c r="F198" s="43">
        <v>883.01922144189598</v>
      </c>
      <c r="G198" s="43">
        <v>0</v>
      </c>
      <c r="H198" s="43">
        <v>125.9179375839</v>
      </c>
      <c r="I198" s="43">
        <f t="shared" si="1"/>
        <v>82.273344162910675</v>
      </c>
    </row>
    <row r="199" spans="1:9" ht="15.75" customHeight="1">
      <c r="A199" s="21">
        <v>42932</v>
      </c>
      <c r="B199" s="43">
        <v>32.160858517100003</v>
      </c>
      <c r="C199" s="43">
        <v>59.415823362099999</v>
      </c>
      <c r="D199" s="43">
        <v>66268.79999844222</v>
      </c>
      <c r="E199" s="43">
        <v>806.97408411312006</v>
      </c>
      <c r="F199" s="43">
        <v>888.64434335292003</v>
      </c>
      <c r="G199" s="43">
        <v>34.939350766320004</v>
      </c>
      <c r="H199" s="43">
        <v>113.3806537552</v>
      </c>
      <c r="I199" s="43">
        <f t="shared" si="1"/>
        <v>82.12010931091163</v>
      </c>
    </row>
    <row r="200" spans="1:9" ht="15.75" customHeight="1">
      <c r="A200" s="21">
        <v>42933</v>
      </c>
      <c r="B200" s="43">
        <v>33.796156407799998</v>
      </c>
      <c r="C200" s="43">
        <v>58.870724065200001</v>
      </c>
      <c r="D200" s="43">
        <v>63676.799998503142</v>
      </c>
      <c r="E200" s="43">
        <v>793.96740922329604</v>
      </c>
      <c r="F200" s="43">
        <v>865.06122793860004</v>
      </c>
      <c r="G200" s="43">
        <v>0</v>
      </c>
      <c r="H200" s="43">
        <v>162.43959047619998</v>
      </c>
      <c r="I200" s="43">
        <f t="shared" si="1"/>
        <v>80.200773052883122</v>
      </c>
    </row>
    <row r="201" spans="1:9" ht="15.75" customHeight="1">
      <c r="A201" s="21">
        <v>42934</v>
      </c>
      <c r="B201" s="43">
        <v>33.796156407799998</v>
      </c>
      <c r="C201" s="43">
        <v>58.870724065200001</v>
      </c>
      <c r="D201" s="43">
        <v>61603.199998551885</v>
      </c>
      <c r="E201" s="43">
        <v>813.12537826212008</v>
      </c>
      <c r="F201" s="43">
        <v>864.56155358311207</v>
      </c>
      <c r="G201" s="43">
        <v>26.471384605512</v>
      </c>
      <c r="H201" s="43">
        <v>131.3689305529</v>
      </c>
      <c r="I201" s="43">
        <f t="shared" si="1"/>
        <v>75.761010104266362</v>
      </c>
    </row>
    <row r="202" spans="1:9" ht="15.75" customHeight="1">
      <c r="A202" s="21">
        <v>42935</v>
      </c>
      <c r="B202" s="43">
        <v>35.976553595399999</v>
      </c>
      <c r="C202" s="43">
        <v>58.325624768299996</v>
      </c>
      <c r="D202" s="43">
        <v>60134.399998586421</v>
      </c>
      <c r="E202" s="43">
        <v>826.61280044851208</v>
      </c>
      <c r="F202" s="43">
        <v>862.59692486721599</v>
      </c>
      <c r="G202" s="43">
        <v>0</v>
      </c>
      <c r="H202" s="43">
        <v>129.18853336529997</v>
      </c>
      <c r="I202" s="43">
        <f t="shared" si="1"/>
        <v>72.747966116612375</v>
      </c>
    </row>
    <row r="203" spans="1:9" ht="15.75" customHeight="1">
      <c r="A203" s="21">
        <v>42936</v>
      </c>
      <c r="B203" s="43">
        <v>34.886355001600002</v>
      </c>
      <c r="C203" s="43">
        <v>60.506021955899996</v>
      </c>
      <c r="D203" s="43">
        <v>61171.199998562042</v>
      </c>
      <c r="E203" s="43">
        <v>865.72367500080009</v>
      </c>
      <c r="F203" s="43">
        <v>864.19815405184806</v>
      </c>
      <c r="G203" s="43">
        <v>0</v>
      </c>
      <c r="H203" s="43">
        <v>133.54932774049999</v>
      </c>
      <c r="I203" s="43">
        <f t="shared" si="1"/>
        <v>70.659035631092692</v>
      </c>
    </row>
    <row r="204" spans="1:9" ht="15.75" customHeight="1">
      <c r="A204" s="21">
        <v>42937</v>
      </c>
      <c r="B204" s="43">
        <v>33.251057110899993</v>
      </c>
      <c r="C204" s="43">
        <v>57.235426174499999</v>
      </c>
      <c r="D204" s="43">
        <v>59615.9999985986</v>
      </c>
      <c r="E204" s="43">
        <v>816.80858392795199</v>
      </c>
      <c r="F204" s="43">
        <v>864.13380205151998</v>
      </c>
      <c r="G204" s="43">
        <v>34.045993585296003</v>
      </c>
      <c r="H204" s="43">
        <v>132.45912914670001</v>
      </c>
      <c r="I204" s="43">
        <f t="shared" si="1"/>
        <v>72.986500352274859</v>
      </c>
    </row>
    <row r="205" spans="1:9" ht="15.75" customHeight="1">
      <c r="A205" s="21">
        <v>42938</v>
      </c>
      <c r="B205" s="43">
        <v>33.796156407799998</v>
      </c>
      <c r="C205" s="43">
        <v>57.235426174499999</v>
      </c>
      <c r="D205" s="43">
        <v>58665.59999862095</v>
      </c>
      <c r="E205" s="43">
        <v>811.44087001824005</v>
      </c>
      <c r="F205" s="43">
        <v>861.94961945215198</v>
      </c>
      <c r="G205" s="43">
        <v>0</v>
      </c>
      <c r="H205" s="43">
        <v>128.64343406840001</v>
      </c>
      <c r="I205" s="43">
        <f t="shared" si="1"/>
        <v>72.298059126972774</v>
      </c>
    </row>
    <row r="206" spans="1:9" ht="15.75" customHeight="1">
      <c r="A206" s="21">
        <v>42939</v>
      </c>
      <c r="B206" s="43">
        <v>35.4314542985</v>
      </c>
      <c r="C206" s="43">
        <v>57.780525471399997</v>
      </c>
      <c r="D206" s="43">
        <v>56678.399998667657</v>
      </c>
      <c r="E206" s="43">
        <v>859.17491261448004</v>
      </c>
      <c r="F206" s="43">
        <v>861.43858886131204</v>
      </c>
      <c r="G206" s="43">
        <v>23.128866000240002</v>
      </c>
      <c r="H206" s="43">
        <v>131.3689305529</v>
      </c>
      <c r="I206" s="43">
        <f t="shared" si="1"/>
        <v>65.968406626532627</v>
      </c>
    </row>
    <row r="207" spans="1:9" ht="15.75" customHeight="1">
      <c r="A207" s="21">
        <v>42940</v>
      </c>
      <c r="B207" s="43">
        <v>32.160858517100003</v>
      </c>
      <c r="C207" s="43">
        <v>55.055028986899991</v>
      </c>
      <c r="D207" s="43">
        <v>52531.199998765143</v>
      </c>
      <c r="E207" s="43">
        <v>807.67438529316007</v>
      </c>
      <c r="F207" s="43">
        <v>862.52500204332</v>
      </c>
      <c r="G207" s="43">
        <v>0</v>
      </c>
      <c r="H207" s="43">
        <v>123.73754039629999</v>
      </c>
      <c r="I207" s="43">
        <f t="shared" si="1"/>
        <v>65.040071785485665</v>
      </c>
    </row>
    <row r="208" spans="1:9" ht="15.75" customHeight="1">
      <c r="A208" s="21">
        <v>42941</v>
      </c>
      <c r="B208" s="43">
        <v>31.615759220199998</v>
      </c>
      <c r="C208" s="43">
        <v>55.055028986899991</v>
      </c>
      <c r="D208" s="43">
        <v>50716.799998807794</v>
      </c>
      <c r="E208" s="43">
        <v>782.17206610435198</v>
      </c>
      <c r="F208" s="43">
        <v>861.60514697980807</v>
      </c>
      <c r="G208" s="43">
        <v>39.875527732656003</v>
      </c>
      <c r="H208" s="43">
        <v>130.27873195909999</v>
      </c>
      <c r="I208" s="43">
        <f t="shared" si="1"/>
        <v>64.840975786063822</v>
      </c>
    </row>
    <row r="209" spans="1:9" ht="15.75" customHeight="1">
      <c r="A209" s="21">
        <v>42942</v>
      </c>
      <c r="B209" s="43">
        <v>32.160858517100003</v>
      </c>
      <c r="C209" s="43">
        <v>55.055028986899991</v>
      </c>
      <c r="D209" s="43">
        <v>48556.799998858573</v>
      </c>
      <c r="E209" s="43">
        <v>763.20715306651198</v>
      </c>
      <c r="F209" s="43">
        <v>850.23376998067204</v>
      </c>
      <c r="G209" s="43">
        <v>0</v>
      </c>
      <c r="H209" s="43">
        <v>124.82773899009999</v>
      </c>
      <c r="I209" s="43">
        <f t="shared" si="1"/>
        <v>63.622045212444363</v>
      </c>
    </row>
    <row r="210" spans="1:9" ht="15.75" customHeight="1">
      <c r="A210" s="21">
        <v>42943</v>
      </c>
      <c r="B210" s="43">
        <v>33.796156407799998</v>
      </c>
      <c r="C210" s="43">
        <v>53.964830393100002</v>
      </c>
      <c r="D210" s="43">
        <v>46396.799998909344</v>
      </c>
      <c r="E210" s="43">
        <v>792.41160498007207</v>
      </c>
      <c r="F210" s="43">
        <v>808.26490953146401</v>
      </c>
      <c r="G210" s="43">
        <v>0</v>
      </c>
      <c r="H210" s="43">
        <v>128.09833477149999</v>
      </c>
      <c r="I210" s="43">
        <f t="shared" si="1"/>
        <v>58.551388832923706</v>
      </c>
    </row>
    <row r="211" spans="1:9" ht="15.75" customHeight="1">
      <c r="A211" s="21">
        <v>42944</v>
      </c>
      <c r="B211" s="43">
        <v>33.251057110899993</v>
      </c>
      <c r="C211" s="43">
        <v>51.239333908599995</v>
      </c>
      <c r="D211" s="43">
        <v>44323.199998958087</v>
      </c>
      <c r="E211" s="43">
        <v>783.03135457932001</v>
      </c>
      <c r="F211" s="43">
        <v>808.03399941264001</v>
      </c>
      <c r="G211" s="43">
        <v>0</v>
      </c>
      <c r="H211" s="43">
        <v>127.55323547459999</v>
      </c>
      <c r="I211" s="43">
        <f t="shared" si="1"/>
        <v>56.604629865390926</v>
      </c>
    </row>
    <row r="212" spans="1:9" ht="15.75" customHeight="1">
      <c r="A212" s="21">
        <v>42945</v>
      </c>
      <c r="B212" s="43">
        <v>32.160858517100003</v>
      </c>
      <c r="C212" s="43">
        <v>53.419731096200003</v>
      </c>
      <c r="D212" s="43">
        <v>41903.999999014959</v>
      </c>
      <c r="E212" s="43">
        <v>739.50668988688801</v>
      </c>
      <c r="F212" s="43">
        <v>807.42454811541609</v>
      </c>
      <c r="G212" s="43">
        <v>51.954776735400003</v>
      </c>
      <c r="H212" s="43">
        <v>125.37283828699999</v>
      </c>
      <c r="I212" s="43">
        <f t="shared" si="1"/>
        <v>56.664801782150782</v>
      </c>
    </row>
    <row r="213" spans="1:9" ht="15.75" customHeight="1">
      <c r="A213" s="21">
        <v>42946</v>
      </c>
      <c r="B213" s="43">
        <v>32.160858517100003</v>
      </c>
      <c r="C213" s="43">
        <v>51.239333908599995</v>
      </c>
      <c r="D213" s="43">
        <v>40780.799999041359</v>
      </c>
      <c r="E213" s="43">
        <v>674.51495496739199</v>
      </c>
      <c r="F213" s="43">
        <v>770.84611404662405</v>
      </c>
      <c r="G213" s="43">
        <v>0</v>
      </c>
      <c r="H213" s="43">
        <v>127.55323547459999</v>
      </c>
      <c r="I213" s="43">
        <f t="shared" si="1"/>
        <v>60.459445263171105</v>
      </c>
    </row>
    <row r="214" spans="1:9" ht="15.75" customHeight="1">
      <c r="A214" s="21">
        <v>42947</v>
      </c>
      <c r="B214" s="43">
        <v>33.796156407799998</v>
      </c>
      <c r="C214" s="43">
        <v>53.419731096200003</v>
      </c>
      <c r="D214" s="43">
        <v>39225.599999077924</v>
      </c>
      <c r="E214" s="43">
        <v>305.58493708696801</v>
      </c>
      <c r="F214" s="43">
        <v>666.10755539512797</v>
      </c>
      <c r="G214" s="43">
        <v>0</v>
      </c>
      <c r="H214" s="43">
        <v>125.9179375839</v>
      </c>
      <c r="I214" s="43">
        <f t="shared" si="1"/>
        <v>128.36234787290743</v>
      </c>
    </row>
    <row r="215" spans="1:9" ht="15.75" customHeight="1">
      <c r="A215" s="21">
        <v>42948</v>
      </c>
      <c r="B215" s="43">
        <v>32.160858517100003</v>
      </c>
      <c r="C215" s="43">
        <v>50.149135314799992</v>
      </c>
      <c r="D215" s="43">
        <v>29203.199999313521</v>
      </c>
      <c r="E215" s="43">
        <v>528.62897022381605</v>
      </c>
      <c r="F215" s="43">
        <v>668.28038175914401</v>
      </c>
      <c r="G215" s="43">
        <v>26.717436371472001</v>
      </c>
      <c r="H215" s="43">
        <v>125.9179375839</v>
      </c>
      <c r="I215" s="43">
        <f t="shared" si="1"/>
        <v>55.243283369334051</v>
      </c>
    </row>
    <row r="216" spans="1:9" ht="15.75" customHeight="1">
      <c r="A216" s="21">
        <v>42949</v>
      </c>
      <c r="B216" s="43">
        <v>31.070659923299999</v>
      </c>
      <c r="C216" s="43">
        <v>50.694234611699997</v>
      </c>
      <c r="D216" s="43">
        <v>28771.199999323671</v>
      </c>
      <c r="E216" s="43">
        <v>559.13181837928801</v>
      </c>
      <c r="F216" s="43">
        <v>670.96802412578404</v>
      </c>
      <c r="G216" s="43">
        <v>15.493690431912</v>
      </c>
      <c r="H216" s="43">
        <v>0</v>
      </c>
      <c r="I216" s="43">
        <f t="shared" si="1"/>
        <v>51.456917767120665</v>
      </c>
    </row>
    <row r="217" spans="1:9" ht="15.75" customHeight="1">
      <c r="A217" s="21">
        <v>42950</v>
      </c>
      <c r="B217" s="43">
        <v>35.976553595399999</v>
      </c>
      <c r="C217" s="43">
        <v>54.509929689999993</v>
      </c>
      <c r="D217" s="43">
        <v>27129.599999362264</v>
      </c>
      <c r="E217" s="43">
        <v>607.33146662496006</v>
      </c>
      <c r="F217" s="43">
        <v>671.06265942038408</v>
      </c>
      <c r="G217" s="43">
        <v>0</v>
      </c>
      <c r="H217" s="43">
        <v>127.0081361777</v>
      </c>
      <c r="I217" s="43">
        <f t="shared" si="1"/>
        <v>44.67017022866586</v>
      </c>
    </row>
    <row r="218" spans="1:9" ht="15.75" customHeight="1">
      <c r="A218" s="21">
        <v>42951</v>
      </c>
      <c r="B218" s="43">
        <v>32.160858517100003</v>
      </c>
      <c r="C218" s="43">
        <v>52.874631799299991</v>
      </c>
      <c r="D218" s="43">
        <v>25487.999999400854</v>
      </c>
      <c r="E218" s="43">
        <v>603.98516260790404</v>
      </c>
      <c r="F218" s="43">
        <v>650.18611343162399</v>
      </c>
      <c r="G218" s="43">
        <v>0</v>
      </c>
      <c r="H218" s="43">
        <v>122.64734180249999</v>
      </c>
      <c r="I218" s="43">
        <f t="shared" si="1"/>
        <v>42.199712140854679</v>
      </c>
    </row>
    <row r="219" spans="1:9" ht="15.75" customHeight="1">
      <c r="A219" s="21">
        <v>42952</v>
      </c>
      <c r="B219" s="43">
        <v>33.796156407799998</v>
      </c>
      <c r="C219" s="43">
        <v>50.149135314799992</v>
      </c>
      <c r="D219" s="43">
        <v>24623.999999421165</v>
      </c>
      <c r="E219" s="43">
        <v>398.99754368073604</v>
      </c>
      <c r="F219" s="43">
        <v>463.36090024408804</v>
      </c>
      <c r="G219" s="43">
        <v>0</v>
      </c>
      <c r="H219" s="43">
        <v>121.01204391179999</v>
      </c>
      <c r="I219" s="43">
        <f t="shared" si="1"/>
        <v>61.714665639958007</v>
      </c>
    </row>
    <row r="220" spans="1:9" ht="15.75" customHeight="1">
      <c r="A220" s="21">
        <v>42953</v>
      </c>
      <c r="B220" s="43">
        <v>32.160858517100003</v>
      </c>
      <c r="C220" s="43">
        <v>51.784433205499994</v>
      </c>
      <c r="D220" s="43">
        <v>23068.799999457719</v>
      </c>
      <c r="E220" s="43">
        <v>343.37470292664</v>
      </c>
      <c r="F220" s="43">
        <v>470.382839103408</v>
      </c>
      <c r="G220" s="43">
        <v>20.543429751768002</v>
      </c>
      <c r="H220" s="43">
        <v>123.73754039629999</v>
      </c>
      <c r="I220" s="43">
        <f t="shared" si="1"/>
        <v>67.1825845143468</v>
      </c>
    </row>
    <row r="221" spans="1:9" ht="15.75" customHeight="1">
      <c r="A221" s="21">
        <v>42954</v>
      </c>
      <c r="B221" s="43">
        <v>31.615759220199998</v>
      </c>
      <c r="C221" s="43">
        <v>57.780525471399997</v>
      </c>
      <c r="D221" s="43">
        <v>36115.199999151038</v>
      </c>
      <c r="E221" s="43">
        <v>440.12982812568004</v>
      </c>
      <c r="F221" s="43">
        <v>472.43453229033599</v>
      </c>
      <c r="G221" s="43">
        <v>31.827742279872002</v>
      </c>
      <c r="H221" s="43">
        <v>118.8316467242</v>
      </c>
      <c r="I221" s="43">
        <f t="shared" si="1"/>
        <v>82.05578829535331</v>
      </c>
    </row>
    <row r="222" spans="1:9" ht="15.75" customHeight="1">
      <c r="A222" s="21">
        <v>42955</v>
      </c>
      <c r="B222" s="43">
        <v>32.160858517100003</v>
      </c>
      <c r="C222" s="43">
        <v>50.149135314799992</v>
      </c>
      <c r="D222" s="43">
        <v>35683.199999161196</v>
      </c>
      <c r="E222" s="43">
        <v>475.65970313030402</v>
      </c>
      <c r="F222" s="43">
        <v>471.68123534532003</v>
      </c>
      <c r="G222" s="43">
        <v>0</v>
      </c>
      <c r="H222" s="43">
        <v>119.37674602109999</v>
      </c>
      <c r="I222" s="43">
        <f t="shared" si="1"/>
        <v>75.018337194281941</v>
      </c>
    </row>
    <row r="223" spans="1:9" ht="15.75" customHeight="1">
      <c r="A223" s="21">
        <v>42956</v>
      </c>
      <c r="B223" s="43">
        <v>30.525560626399997</v>
      </c>
      <c r="C223" s="43">
        <v>47.423638830299993</v>
      </c>
      <c r="D223" s="43">
        <v>33782.399999205874</v>
      </c>
      <c r="E223" s="43">
        <v>475.65213230673601</v>
      </c>
      <c r="F223" s="43">
        <v>499.32988301565604</v>
      </c>
      <c r="G223" s="43">
        <v>27.853059906672001</v>
      </c>
      <c r="H223" s="43">
        <v>120.4669446149</v>
      </c>
      <c r="I223" s="43">
        <f t="shared" si="1"/>
        <v>71.023333450380619</v>
      </c>
    </row>
    <row r="224" spans="1:9" ht="15.75" customHeight="1">
      <c r="A224" s="21">
        <v>42957</v>
      </c>
      <c r="B224" s="43">
        <v>28.890262735699999</v>
      </c>
      <c r="C224" s="43">
        <v>47.423638830299993</v>
      </c>
      <c r="D224" s="43">
        <v>33782.399999205874</v>
      </c>
      <c r="E224" s="43">
        <v>475.65970313030402</v>
      </c>
      <c r="F224" s="43">
        <v>510.03502754080802</v>
      </c>
      <c r="G224" s="43">
        <v>0</v>
      </c>
      <c r="H224" s="43">
        <v>122.64734180249999</v>
      </c>
      <c r="I224" s="43">
        <f t="shared" si="1"/>
        <v>71.022203009598641</v>
      </c>
    </row>
    <row r="225" spans="1:9" ht="15.75" customHeight="1">
      <c r="A225" s="21">
        <v>42958</v>
      </c>
      <c r="B225" s="43">
        <v>31.615759220199998</v>
      </c>
      <c r="C225" s="43">
        <v>47.423638830299993</v>
      </c>
      <c r="D225" s="43">
        <v>33004.799999224153</v>
      </c>
      <c r="E225" s="43">
        <v>435.51162574919999</v>
      </c>
      <c r="F225" s="43">
        <v>509.92903601085601</v>
      </c>
      <c r="G225" s="43">
        <v>0</v>
      </c>
      <c r="H225" s="43" t="s">
        <v>127</v>
      </c>
      <c r="I225" s="43">
        <f t="shared" si="1"/>
        <v>75.78397004315741</v>
      </c>
    </row>
    <row r="226" spans="1:9" ht="15.75" customHeight="1">
      <c r="A226" s="21">
        <v>42959</v>
      </c>
      <c r="B226" s="43">
        <v>31.615759220199998</v>
      </c>
      <c r="C226" s="43">
        <v>47.423638830299993</v>
      </c>
      <c r="D226" s="43">
        <v>31190.399999266807</v>
      </c>
      <c r="E226" s="43">
        <v>396.306115902312</v>
      </c>
      <c r="F226" s="43">
        <v>509.845756951608</v>
      </c>
      <c r="G226" s="43">
        <v>0</v>
      </c>
      <c r="H226" s="43">
        <v>118.8316467242</v>
      </c>
      <c r="I226" s="43">
        <f t="shared" si="1"/>
        <v>78.702797528754573</v>
      </c>
    </row>
    <row r="227" spans="1:9" ht="15.75" customHeight="1">
      <c r="A227" s="21">
        <v>42960</v>
      </c>
      <c r="B227" s="43">
        <v>28.3451634388</v>
      </c>
      <c r="C227" s="43">
        <v>47.423638830299993</v>
      </c>
      <c r="D227" s="43">
        <v>33004.799999224153</v>
      </c>
      <c r="E227" s="43">
        <v>403.10850087816004</v>
      </c>
      <c r="F227" s="43">
        <v>508.32780682622405</v>
      </c>
      <c r="G227" s="43">
        <v>24.15092718192</v>
      </c>
      <c r="H227" s="43">
        <v>121.01204391179999</v>
      </c>
      <c r="I227" s="43">
        <f t="shared" si="1"/>
        <v>81.875723105129666</v>
      </c>
    </row>
    <row r="228" spans="1:9" ht="15.75" customHeight="1">
      <c r="A228" s="21">
        <v>42961</v>
      </c>
      <c r="B228" s="43">
        <v>28.890262735699999</v>
      </c>
      <c r="C228" s="43">
        <v>46.878539533399994</v>
      </c>
      <c r="D228" s="43">
        <v>32659.199999232278</v>
      </c>
      <c r="E228" s="43">
        <v>441.837048840264</v>
      </c>
      <c r="F228" s="43">
        <v>505.89757246089601</v>
      </c>
      <c r="G228" s="43">
        <v>0</v>
      </c>
      <c r="H228" s="43">
        <v>122.64734180249999</v>
      </c>
      <c r="I228" s="43">
        <f t="shared" si="1"/>
        <v>73.91684351721139</v>
      </c>
    </row>
    <row r="229" spans="1:9" ht="15.75" customHeight="1">
      <c r="A229" s="21">
        <v>42962</v>
      </c>
      <c r="B229" s="43">
        <v>29.980461329499999</v>
      </c>
      <c r="C229" s="43">
        <v>50.149135314799992</v>
      </c>
      <c r="D229" s="43">
        <v>31967.999999248525</v>
      </c>
      <c r="E229" s="43">
        <v>475.78083630739201</v>
      </c>
      <c r="F229" s="43">
        <v>504.78844680818401</v>
      </c>
      <c r="G229" s="43">
        <v>26.872638254616</v>
      </c>
      <c r="H229" s="43">
        <v>118.8316467242</v>
      </c>
      <c r="I229" s="43">
        <f t="shared" si="1"/>
        <v>67.190600292683229</v>
      </c>
    </row>
    <row r="230" spans="1:9" ht="15.75" customHeight="1">
      <c r="A230" s="21">
        <v>42963</v>
      </c>
      <c r="B230" s="43">
        <v>29.435362032600001</v>
      </c>
      <c r="C230" s="43">
        <v>47.968738127199998</v>
      </c>
      <c r="D230" s="43">
        <v>31190.399999266807</v>
      </c>
      <c r="E230" s="43">
        <v>475.54992618856801</v>
      </c>
      <c r="F230" s="43">
        <v>503.22128632960801</v>
      </c>
      <c r="G230" s="43">
        <v>0</v>
      </c>
      <c r="H230" s="43">
        <v>119.921845318</v>
      </c>
      <c r="I230" s="43">
        <f t="shared" si="1"/>
        <v>65.588066113796415</v>
      </c>
    </row>
    <row r="231" spans="1:9" ht="15.75" customHeight="1">
      <c r="A231" s="21">
        <v>42964</v>
      </c>
      <c r="B231" s="43">
        <v>30.525560626399997</v>
      </c>
      <c r="C231" s="43">
        <v>49.058936720999995</v>
      </c>
      <c r="D231" s="43">
        <v>30499.19999928305</v>
      </c>
      <c r="E231" s="43">
        <v>461.695319059128</v>
      </c>
      <c r="F231" s="43">
        <v>498.19425948045603</v>
      </c>
      <c r="G231" s="43">
        <v>45.061541876736001</v>
      </c>
      <c r="H231" s="43">
        <v>121.01204391179999</v>
      </c>
      <c r="I231" s="43">
        <f t="shared" si="1"/>
        <v>66.059149270640759</v>
      </c>
    </row>
    <row r="232" spans="1:9" ht="15.75" customHeight="1">
      <c r="A232" s="21">
        <v>42965</v>
      </c>
      <c r="B232" s="43">
        <v>30.525560626399997</v>
      </c>
      <c r="C232" s="43">
        <v>48.513837424099997</v>
      </c>
      <c r="D232" s="43">
        <v>29462.399999307425</v>
      </c>
      <c r="E232" s="43">
        <v>444.70260556075203</v>
      </c>
      <c r="F232" s="43">
        <v>500.71912914038404</v>
      </c>
      <c r="G232" s="43">
        <v>0</v>
      </c>
      <c r="H232" s="43">
        <v>116.65124953659999</v>
      </c>
      <c r="I232" s="43">
        <f t="shared" si="1"/>
        <v>66.251916743677555</v>
      </c>
    </row>
    <row r="233" spans="1:9" ht="15.75" customHeight="1">
      <c r="A233" s="21">
        <v>42966</v>
      </c>
      <c r="B233" s="43">
        <v>29.435362032600001</v>
      </c>
      <c r="C233" s="43">
        <v>46.878539533399994</v>
      </c>
      <c r="D233" s="43">
        <v>28771.199999323671</v>
      </c>
      <c r="E233" s="43">
        <v>439.906488830424</v>
      </c>
      <c r="F233" s="43">
        <v>501.50270937967201</v>
      </c>
      <c r="G233" s="43">
        <v>24.786876361632</v>
      </c>
      <c r="H233" s="43">
        <v>124.82773899009999</v>
      </c>
      <c r="I233" s="43">
        <f t="shared" si="1"/>
        <v>65.40299070335935</v>
      </c>
    </row>
    <row r="234" spans="1:9" ht="15.75" customHeight="1">
      <c r="A234" s="21">
        <v>42967</v>
      </c>
      <c r="B234" s="43">
        <v>31.070659923299999</v>
      </c>
      <c r="C234" s="43">
        <v>49.604036017899993</v>
      </c>
      <c r="D234" s="43">
        <v>28425.599999331796</v>
      </c>
      <c r="E234" s="43">
        <v>391.61220529015202</v>
      </c>
      <c r="F234" s="43">
        <v>431.23411043328002</v>
      </c>
      <c r="G234" s="43">
        <v>0</v>
      </c>
      <c r="H234" s="43">
        <v>120.4669446149</v>
      </c>
      <c r="I234" s="43">
        <f t="shared" si="1"/>
        <v>72.586093117988483</v>
      </c>
    </row>
    <row r="235" spans="1:9" ht="15.75" customHeight="1">
      <c r="A235" s="21">
        <v>42968</v>
      </c>
      <c r="B235" s="43">
        <v>29.980461329499999</v>
      </c>
      <c r="C235" s="43">
        <v>47.968738127199998</v>
      </c>
      <c r="D235" s="43">
        <v>28425.599999331796</v>
      </c>
      <c r="E235" s="43">
        <v>449.12775193624799</v>
      </c>
      <c r="F235" s="43">
        <v>506.59787364093603</v>
      </c>
      <c r="G235" s="43">
        <v>34.348826528015998</v>
      </c>
      <c r="H235" s="43">
        <v>121.5571432087</v>
      </c>
      <c r="I235" s="43">
        <f t="shared" si="1"/>
        <v>63.29067815735133</v>
      </c>
    </row>
    <row r="236" spans="1:9" ht="15.75" customHeight="1">
      <c r="A236" s="21">
        <v>42969</v>
      </c>
      <c r="B236" s="43">
        <v>29.435362032600001</v>
      </c>
      <c r="C236" s="43">
        <v>47.423638830299993</v>
      </c>
      <c r="D236" s="43">
        <v>27475.199999354139</v>
      </c>
      <c r="E236" s="43">
        <v>449.19967476014403</v>
      </c>
      <c r="F236" s="43">
        <v>505.20484210442402</v>
      </c>
      <c r="G236" s="43">
        <v>0</v>
      </c>
      <c r="H236" s="43">
        <v>123.1924410994</v>
      </c>
      <c r="I236" s="43">
        <f t="shared" si="1"/>
        <v>61.164781595233514</v>
      </c>
    </row>
    <row r="237" spans="1:9" ht="15.75" customHeight="1">
      <c r="A237" s="21">
        <v>42970</v>
      </c>
      <c r="B237" s="43">
        <v>32.705957814000001</v>
      </c>
      <c r="C237" s="43">
        <v>48.513837424099997</v>
      </c>
      <c r="D237" s="43">
        <v>26438.399999378507</v>
      </c>
      <c r="E237" s="43">
        <v>449.22238723084803</v>
      </c>
      <c r="F237" s="43">
        <v>481.42109986555204</v>
      </c>
      <c r="G237" s="43">
        <v>0</v>
      </c>
      <c r="H237" s="43">
        <v>122.64734180249999</v>
      </c>
      <c r="I237" s="43">
        <f t="shared" si="1"/>
        <v>58.853700863737778</v>
      </c>
    </row>
    <row r="238" spans="1:9" ht="15.75" customHeight="1">
      <c r="A238" s="21">
        <v>42971</v>
      </c>
      <c r="B238" s="43">
        <v>29.980461329499999</v>
      </c>
      <c r="C238" s="43">
        <v>47.968738127199998</v>
      </c>
      <c r="D238" s="43">
        <v>26179.199999384604</v>
      </c>
      <c r="E238" s="43">
        <v>384.68111631364803</v>
      </c>
      <c r="F238" s="43">
        <v>474.68306689003202</v>
      </c>
      <c r="G238" s="43">
        <v>23.227286706624</v>
      </c>
      <c r="H238" s="43">
        <v>115.0159516459</v>
      </c>
      <c r="I238" s="43">
        <f t="shared" si="1"/>
        <v>68.054289355964926</v>
      </c>
    </row>
    <row r="239" spans="1:9" ht="15.75" customHeight="1">
      <c r="A239" s="21">
        <v>42972</v>
      </c>
      <c r="B239" s="43">
        <v>29.980461329499999</v>
      </c>
      <c r="C239" s="43">
        <v>48.513837424099997</v>
      </c>
      <c r="D239" s="43">
        <v>25833.599999392729</v>
      </c>
      <c r="E239" s="43">
        <v>422.76614427247199</v>
      </c>
      <c r="F239" s="43">
        <v>505.96192446122404</v>
      </c>
      <c r="G239" s="43">
        <v>0</v>
      </c>
      <c r="H239" s="43">
        <v>124.82773899009999</v>
      </c>
      <c r="I239" s="43">
        <f t="shared" si="1"/>
        <v>61.106122969825655</v>
      </c>
    </row>
    <row r="240" spans="1:9" ht="15.75" customHeight="1">
      <c r="A240" s="21">
        <v>42973</v>
      </c>
      <c r="B240" s="43">
        <v>28.890262735699999</v>
      </c>
      <c r="C240" s="43">
        <v>47.423638830299993</v>
      </c>
      <c r="D240" s="43">
        <v>25487.999999400854</v>
      </c>
      <c r="E240" s="43">
        <v>432.04040314327204</v>
      </c>
      <c r="F240" s="43">
        <v>499.19360819143202</v>
      </c>
      <c r="G240" s="43">
        <v>0</v>
      </c>
      <c r="H240" s="43">
        <v>119.921845318</v>
      </c>
      <c r="I240" s="43">
        <f t="shared" si="1"/>
        <v>58.994482492760277</v>
      </c>
    </row>
    <row r="241" spans="1:9" ht="15.75" customHeight="1">
      <c r="A241" s="21">
        <v>42974</v>
      </c>
      <c r="B241" s="43">
        <v>30.525560626399997</v>
      </c>
      <c r="C241" s="43">
        <v>48.513837424099997</v>
      </c>
      <c r="D241" s="43">
        <v>25228.799999406943</v>
      </c>
      <c r="E241" s="43">
        <v>422.720719331064</v>
      </c>
      <c r="F241" s="43">
        <v>469.557619334496</v>
      </c>
      <c r="G241" s="43">
        <v>31.381063689360001</v>
      </c>
      <c r="H241" s="43">
        <v>123.73754039629999</v>
      </c>
      <c r="I241" s="43">
        <f t="shared" si="1"/>
        <v>59.681957485619236</v>
      </c>
    </row>
    <row r="242" spans="1:9" ht="15.75" customHeight="1">
      <c r="A242" s="21">
        <v>42975</v>
      </c>
      <c r="B242" s="43">
        <v>31.070659923299999</v>
      </c>
      <c r="C242" s="43">
        <v>47.968738127199998</v>
      </c>
      <c r="D242" s="43">
        <v>24623.999999421165</v>
      </c>
      <c r="E242" s="43">
        <v>422.83049627280002</v>
      </c>
      <c r="F242" s="43">
        <v>479.87286644589602</v>
      </c>
      <c r="G242" s="43">
        <v>0</v>
      </c>
      <c r="H242" s="43">
        <v>121.5571432087</v>
      </c>
      <c r="I242" s="43">
        <f t="shared" si="1"/>
        <v>58.236102212302008</v>
      </c>
    </row>
    <row r="243" spans="1:9" ht="15.75" customHeight="1">
      <c r="A243" s="21">
        <v>42976</v>
      </c>
      <c r="B243" s="43">
        <v>29.980461329499999</v>
      </c>
      <c r="C243" s="43">
        <v>52.329532502399992</v>
      </c>
      <c r="D243" s="43">
        <v>23414.399999449597</v>
      </c>
      <c r="E243" s="43">
        <v>411.61053574502404</v>
      </c>
      <c r="F243" s="43">
        <v>421.21034002924802</v>
      </c>
      <c r="G243" s="43">
        <v>0</v>
      </c>
      <c r="H243" s="43">
        <v>121.5571432087</v>
      </c>
      <c r="I243" s="43">
        <f t="shared" si="1"/>
        <v>56.884841290733782</v>
      </c>
    </row>
    <row r="244" spans="1:9" ht="15.75" customHeight="1">
      <c r="A244" s="21">
        <v>42977</v>
      </c>
      <c r="B244" s="43">
        <v>29.980461329499999</v>
      </c>
      <c r="C244" s="43">
        <v>44.153043048899995</v>
      </c>
      <c r="D244" s="43">
        <v>23414.399999449597</v>
      </c>
      <c r="E244" s="43">
        <v>369.88015623820803</v>
      </c>
      <c r="F244" s="43">
        <v>370.39875765261604</v>
      </c>
      <c r="G244" s="43">
        <v>0</v>
      </c>
      <c r="H244" s="43">
        <v>121.01204391179999</v>
      </c>
      <c r="I244" s="43">
        <f t="shared" si="1"/>
        <v>63.302666024533615</v>
      </c>
    </row>
    <row r="245" spans="1:9" ht="15.75" customHeight="1">
      <c r="A245" s="21">
        <v>42978</v>
      </c>
      <c r="B245" s="43">
        <v>29.980461329499999</v>
      </c>
      <c r="C245" s="43">
        <v>46.333440236499996</v>
      </c>
      <c r="D245" s="43">
        <v>22809.599999463815</v>
      </c>
      <c r="E245" s="43">
        <v>360.87844701585601</v>
      </c>
      <c r="F245" s="43">
        <v>374.13874449520802</v>
      </c>
      <c r="G245" s="43">
        <v>38.724762550320001</v>
      </c>
      <c r="H245" s="43">
        <v>120.4669446149</v>
      </c>
      <c r="I245" s="43">
        <f t="shared" si="1"/>
        <v>63.205769665877618</v>
      </c>
    </row>
    <row r="246" spans="1:9" ht="15.75" customHeight="1">
      <c r="A246" s="21">
        <v>42979</v>
      </c>
      <c r="B246" s="43">
        <v>28.890262735699999</v>
      </c>
      <c r="C246" s="43">
        <v>44.698142345799994</v>
      </c>
      <c r="D246" s="43">
        <v>22204.799999478029</v>
      </c>
      <c r="E246" s="43">
        <v>343.37091751485599</v>
      </c>
      <c r="F246" s="43">
        <v>397.305464613288</v>
      </c>
      <c r="G246" s="43">
        <v>0</v>
      </c>
      <c r="H246" s="43">
        <v>118.8316467242</v>
      </c>
      <c r="I246" s="43">
        <f t="shared" si="1"/>
        <v>64.667095746445497</v>
      </c>
    </row>
    <row r="247" spans="1:9" ht="15.75" customHeight="1">
      <c r="A247" s="21">
        <v>42980</v>
      </c>
      <c r="B247" s="43">
        <v>29.980461329499999</v>
      </c>
      <c r="C247" s="43">
        <v>46.333440236499996</v>
      </c>
      <c r="D247" s="43">
        <v>22204.799999478029</v>
      </c>
      <c r="E247" s="43">
        <v>330.40588215465601</v>
      </c>
      <c r="F247" s="43">
        <v>394.82980530655203</v>
      </c>
      <c r="G247" s="43">
        <v>25.101065539704003</v>
      </c>
      <c r="H247" s="43">
        <v>119.921845318</v>
      </c>
      <c r="I247" s="43">
        <f t="shared" si="1"/>
        <v>67.204614683840376</v>
      </c>
    </row>
    <row r="248" spans="1:9" ht="15.75" customHeight="1">
      <c r="A248" s="21">
        <v>42981</v>
      </c>
      <c r="B248" s="43">
        <v>32.705957814000001</v>
      </c>
      <c r="C248" s="43">
        <v>41.972645861299995</v>
      </c>
      <c r="D248" s="43">
        <v>21081.599999504433</v>
      </c>
      <c r="E248" s="43">
        <v>343.40877163269602</v>
      </c>
      <c r="F248" s="43">
        <v>390.961114463304</v>
      </c>
      <c r="G248" s="43">
        <v>0</v>
      </c>
      <c r="H248" s="43">
        <v>119.921845318</v>
      </c>
      <c r="I248" s="43">
        <f t="shared" si="1"/>
        <v>61.389229807015361</v>
      </c>
    </row>
    <row r="249" spans="1:9" ht="15.75" customHeight="1">
      <c r="A249" s="21">
        <v>42982</v>
      </c>
      <c r="B249" s="43">
        <v>32.160858517100003</v>
      </c>
      <c r="C249" s="43">
        <v>44.153043048899995</v>
      </c>
      <c r="D249" s="43">
        <v>20044.799999528805</v>
      </c>
      <c r="E249" s="43">
        <v>324.11831318143203</v>
      </c>
      <c r="F249" s="43">
        <v>391.79769046756803</v>
      </c>
      <c r="G249" s="43">
        <v>34.553238764352002</v>
      </c>
      <c r="H249" s="43">
        <v>119.37674602109999</v>
      </c>
      <c r="I249" s="43">
        <f t="shared" si="1"/>
        <v>61.844083423661125</v>
      </c>
    </row>
    <row r="250" spans="1:9" ht="15.75" customHeight="1">
      <c r="A250" s="21">
        <v>42983</v>
      </c>
      <c r="B250" s="43">
        <v>29.435362032600001</v>
      </c>
      <c r="C250" s="43">
        <v>50.694234611699997</v>
      </c>
      <c r="D250" s="43">
        <v>20044.799999528805</v>
      </c>
      <c r="E250" s="43">
        <v>304.93384626011999</v>
      </c>
      <c r="F250" s="43">
        <v>312.06934747296003</v>
      </c>
      <c r="G250" s="43">
        <v>0</v>
      </c>
      <c r="H250" s="43">
        <v>119.37674602109999</v>
      </c>
      <c r="I250" s="43">
        <f t="shared" si="1"/>
        <v>65.734913475068424</v>
      </c>
    </row>
    <row r="251" spans="1:9" ht="15.75" customHeight="1">
      <c r="A251" s="21">
        <v>42984</v>
      </c>
      <c r="B251" s="43">
        <v>30.525560626399997</v>
      </c>
      <c r="C251" s="43">
        <v>43.607943751999997</v>
      </c>
      <c r="D251" s="43">
        <v>20563.199999516619</v>
      </c>
      <c r="E251" s="43">
        <v>263.89998252155999</v>
      </c>
      <c r="F251" s="43">
        <v>307.05367685916002</v>
      </c>
      <c r="G251" s="43">
        <v>0</v>
      </c>
      <c r="H251" s="43">
        <v>121.01204391179999</v>
      </c>
      <c r="I251" s="43">
        <f t="shared" si="1"/>
        <v>77.920429562122663</v>
      </c>
    </row>
    <row r="252" spans="1:9" ht="15.75" customHeight="1">
      <c r="A252" s="21">
        <v>42985</v>
      </c>
      <c r="B252" s="43">
        <v>31.070659923299999</v>
      </c>
      <c r="C252" s="43">
        <v>47.968738127199998</v>
      </c>
      <c r="D252" s="43">
        <v>20563.199999516619</v>
      </c>
      <c r="E252" s="43">
        <v>276.47512046800801</v>
      </c>
      <c r="F252" s="43">
        <v>353.58017309630401</v>
      </c>
      <c r="G252" s="43">
        <v>0</v>
      </c>
      <c r="H252" s="43">
        <v>117.1963488335</v>
      </c>
      <c r="I252" s="43">
        <f t="shared" si="1"/>
        <v>74.376312648703831</v>
      </c>
    </row>
    <row r="253" spans="1:9" ht="15.75" customHeight="1">
      <c r="A253" s="21">
        <v>42986</v>
      </c>
      <c r="B253" s="43">
        <v>31.615759220199998</v>
      </c>
      <c r="C253" s="43">
        <v>46.878539533399994</v>
      </c>
      <c r="D253" s="43">
        <v>20044.799999528805</v>
      </c>
      <c r="E253" s="43">
        <v>316.88060585042399</v>
      </c>
      <c r="F253" s="43">
        <v>399.17167262280003</v>
      </c>
      <c r="G253" s="43">
        <v>25.101065539704003</v>
      </c>
      <c r="H253" s="43">
        <v>119.921845318</v>
      </c>
      <c r="I253" s="43">
        <f t="shared" si="1"/>
        <v>63.256632401764847</v>
      </c>
    </row>
    <row r="254" spans="1:9" ht="15.75" customHeight="1">
      <c r="A254" s="21">
        <v>42987</v>
      </c>
      <c r="B254" s="43">
        <v>32.160858517100003</v>
      </c>
      <c r="C254" s="43">
        <v>49.058936720999995</v>
      </c>
      <c r="D254" s="43">
        <v>21945.599999484126</v>
      </c>
      <c r="E254" s="43">
        <v>316.910889144696</v>
      </c>
      <c r="F254" s="43">
        <v>401.47320298747201</v>
      </c>
      <c r="G254" s="43">
        <v>0</v>
      </c>
      <c r="H254" s="43">
        <v>118.8316467242</v>
      </c>
      <c r="I254" s="43">
        <f t="shared" si="1"/>
        <v>69.248488301278115</v>
      </c>
    </row>
    <row r="255" spans="1:9" ht="15.75" customHeight="1">
      <c r="A255" s="21">
        <v>42988</v>
      </c>
      <c r="B255" s="43">
        <v>29.435362032600001</v>
      </c>
      <c r="C255" s="43">
        <v>44.698142345799994</v>
      </c>
      <c r="D255" s="43">
        <v>22550.399999469904</v>
      </c>
      <c r="E255" s="43">
        <v>316.85410796793599</v>
      </c>
      <c r="F255" s="43">
        <v>401.22336580972802</v>
      </c>
      <c r="G255" s="43">
        <v>22.076521524288001</v>
      </c>
      <c r="H255" s="43">
        <v>119.37674602109999</v>
      </c>
      <c r="I255" s="43">
        <f t="shared" si="1"/>
        <v>71.169662732451897</v>
      </c>
    </row>
    <row r="256" spans="1:9" ht="15.75" customHeight="1">
      <c r="A256" s="21">
        <v>42989</v>
      </c>
      <c r="B256" s="43">
        <v>30.525560626399997</v>
      </c>
      <c r="C256" s="43">
        <v>47.968738127199998</v>
      </c>
      <c r="D256" s="43">
        <v>21340.79999949834</v>
      </c>
      <c r="E256" s="43">
        <v>325.825533896016</v>
      </c>
      <c r="F256" s="43">
        <v>397.49852061427202</v>
      </c>
      <c r="G256" s="43">
        <v>0</v>
      </c>
      <c r="H256" s="43">
        <v>119.921845318</v>
      </c>
      <c r="I256" s="43">
        <f t="shared" si="1"/>
        <v>65.497629189212176</v>
      </c>
    </row>
    <row r="257" spans="1:9" ht="15.75" customHeight="1">
      <c r="A257" s="21">
        <v>42990</v>
      </c>
      <c r="B257" s="43">
        <v>31.070659923299999</v>
      </c>
      <c r="C257" s="43">
        <v>49.058936720999995</v>
      </c>
      <c r="D257" s="43">
        <v>20303.999999522712</v>
      </c>
      <c r="E257" s="43">
        <v>343.32170716166399</v>
      </c>
      <c r="F257" s="43">
        <v>394.70110130589603</v>
      </c>
      <c r="G257" s="43">
        <v>24.010866945911999</v>
      </c>
      <c r="H257" s="43">
        <v>121.01204391179999</v>
      </c>
      <c r="I257" s="43">
        <f t="shared" si="1"/>
        <v>59.139866708055031</v>
      </c>
    </row>
    <row r="258" spans="1:9" ht="15.75" customHeight="1">
      <c r="A258" s="21">
        <v>42991</v>
      </c>
      <c r="B258" s="43">
        <v>29.980461329499999</v>
      </c>
      <c r="C258" s="43">
        <v>46.333440236499996</v>
      </c>
      <c r="D258" s="43">
        <v>19785.599999534898</v>
      </c>
      <c r="E258" s="43">
        <v>323.84576353298399</v>
      </c>
      <c r="F258" s="43">
        <v>388.34539492056001</v>
      </c>
      <c r="G258" s="43">
        <v>0</v>
      </c>
      <c r="H258" s="43">
        <v>119.37674602109999</v>
      </c>
      <c r="I258" s="43">
        <f t="shared" si="1"/>
        <v>61.095750593383059</v>
      </c>
    </row>
    <row r="259" spans="1:9" ht="15.75" customHeight="1">
      <c r="A259" s="21">
        <v>42992</v>
      </c>
      <c r="B259" s="43">
        <v>29.980461329499999</v>
      </c>
      <c r="C259" s="43">
        <v>45.788340939599998</v>
      </c>
      <c r="D259" s="43">
        <v>19180.799999549115</v>
      </c>
      <c r="E259" s="43">
        <v>281.49079108180803</v>
      </c>
      <c r="F259" s="43">
        <v>357.47914723382399</v>
      </c>
      <c r="G259" s="43">
        <v>0</v>
      </c>
      <c r="H259" s="43">
        <v>118.28654742729999</v>
      </c>
      <c r="I259" s="43">
        <f t="shared" si="1"/>
        <v>68.140062152067742</v>
      </c>
    </row>
    <row r="260" spans="1:9" ht="15.75" customHeight="1">
      <c r="A260" s="21">
        <v>42993</v>
      </c>
      <c r="B260" s="43">
        <v>29.435362032600001</v>
      </c>
      <c r="C260" s="43">
        <v>45.788340939599998</v>
      </c>
      <c r="D260" s="43">
        <v>19180.799999549115</v>
      </c>
      <c r="E260" s="43">
        <v>327.14664260863202</v>
      </c>
      <c r="F260" s="43">
        <v>355.12840651596002</v>
      </c>
      <c r="G260" s="43">
        <v>30.362787919464001</v>
      </c>
      <c r="H260" s="43">
        <v>117.7414481304</v>
      </c>
      <c r="I260" s="43">
        <f t="shared" ref="I260:I306" si="2">D260/E260</f>
        <v>58.630587942469731</v>
      </c>
    </row>
    <row r="261" spans="1:9" ht="15.75" customHeight="1">
      <c r="A261" s="21">
        <v>42994</v>
      </c>
      <c r="B261" s="43">
        <v>28.3451634388</v>
      </c>
      <c r="C261" s="43">
        <v>45.788340939599998</v>
      </c>
      <c r="D261" s="43">
        <v>19785.599999534898</v>
      </c>
      <c r="E261" s="43">
        <v>327.290488256424</v>
      </c>
      <c r="F261" s="43">
        <v>351.51333826224004</v>
      </c>
      <c r="G261" s="43">
        <v>13.918959129768</v>
      </c>
      <c r="H261" s="43">
        <v>118.28654742729999</v>
      </c>
      <c r="I261" s="43">
        <f t="shared" si="2"/>
        <v>60.452719249309105</v>
      </c>
    </row>
    <row r="262" spans="1:9" ht="15.75" customHeight="1">
      <c r="A262" s="21">
        <v>42995</v>
      </c>
      <c r="B262" s="43">
        <v>29.435362032600001</v>
      </c>
      <c r="C262" s="43">
        <v>47.423638830299993</v>
      </c>
      <c r="D262" s="43">
        <v>19785.599999534898</v>
      </c>
      <c r="E262" s="43">
        <v>316.88817667399201</v>
      </c>
      <c r="F262" s="43">
        <v>349.50328460493603</v>
      </c>
      <c r="G262" s="43">
        <v>35.401171003968003</v>
      </c>
      <c r="H262" s="43">
        <v>121.5571432087</v>
      </c>
      <c r="I262" s="43">
        <f t="shared" si="2"/>
        <v>62.437166975434089</v>
      </c>
    </row>
    <row r="263" spans="1:9" ht="15.75" customHeight="1">
      <c r="A263" s="21">
        <v>42996</v>
      </c>
      <c r="B263" s="43">
        <v>27.800064141899995</v>
      </c>
      <c r="C263" s="43">
        <v>45.243241642699999</v>
      </c>
      <c r="D263" s="43">
        <v>20822.399999510526</v>
      </c>
      <c r="E263" s="43">
        <v>316.81625385009602</v>
      </c>
      <c r="F263" s="43">
        <v>348.62885448283203</v>
      </c>
      <c r="G263" s="43">
        <v>0</v>
      </c>
      <c r="H263" s="43">
        <v>114.470852349</v>
      </c>
      <c r="I263" s="43">
        <f t="shared" si="2"/>
        <v>65.723900672605012</v>
      </c>
    </row>
    <row r="264" spans="1:9" ht="15.75" customHeight="1">
      <c r="A264" s="21">
        <v>42997</v>
      </c>
      <c r="B264" s="43">
        <v>28.890262735699999</v>
      </c>
      <c r="C264" s="43">
        <v>48.513837424099997</v>
      </c>
      <c r="D264" s="43">
        <v>21340.79999949834</v>
      </c>
      <c r="E264" s="43">
        <v>316.88817667399201</v>
      </c>
      <c r="F264" s="43">
        <v>345.97906623403202</v>
      </c>
      <c r="G264" s="43">
        <v>0</v>
      </c>
      <c r="H264" s="43">
        <v>119.37674602109999</v>
      </c>
      <c r="I264" s="43">
        <f t="shared" si="2"/>
        <v>67.344891890533717</v>
      </c>
    </row>
    <row r="265" spans="1:9" ht="15.75" customHeight="1">
      <c r="A265" s="21">
        <v>42998</v>
      </c>
      <c r="B265" s="43">
        <v>28.3451634388</v>
      </c>
      <c r="C265" s="43">
        <v>47.423638830299993</v>
      </c>
      <c r="D265" s="43">
        <v>25228.799999406943</v>
      </c>
      <c r="E265" s="43">
        <v>316.88817667399201</v>
      </c>
      <c r="F265" s="43">
        <v>344.46490152043202</v>
      </c>
      <c r="G265" s="43">
        <v>0</v>
      </c>
      <c r="H265" s="43">
        <v>109.01985937999999</v>
      </c>
      <c r="I265" s="43">
        <f t="shared" si="2"/>
        <v>79.614204178282776</v>
      </c>
    </row>
    <row r="266" spans="1:9" ht="15.75" customHeight="1">
      <c r="A266" s="21">
        <v>42999</v>
      </c>
      <c r="B266" s="43">
        <v>28.3451634388</v>
      </c>
      <c r="C266" s="43">
        <v>45.788340939599998</v>
      </c>
      <c r="D266" s="43">
        <v>27820.799999346018</v>
      </c>
      <c r="E266" s="43">
        <v>316.88817667399201</v>
      </c>
      <c r="F266" s="43">
        <v>339.88455326179201</v>
      </c>
      <c r="G266" s="43">
        <v>0</v>
      </c>
      <c r="H266" s="43">
        <v>126.46303688079999</v>
      </c>
      <c r="I266" s="43">
        <f t="shared" si="2"/>
        <v>87.79374570344882</v>
      </c>
    </row>
    <row r="267" spans="1:9" ht="15.75" customHeight="1">
      <c r="A267" s="21">
        <v>43000</v>
      </c>
      <c r="B267" s="43">
        <v>29.435362032600001</v>
      </c>
      <c r="C267" s="43">
        <v>48.513837424099997</v>
      </c>
      <c r="D267" s="43">
        <v>27129.599999362264</v>
      </c>
      <c r="E267" s="43">
        <v>313.9052721882</v>
      </c>
      <c r="F267" s="43">
        <v>338.79814007978399</v>
      </c>
      <c r="G267" s="43">
        <v>20.422296574680001</v>
      </c>
      <c r="H267" s="43">
        <v>118.8316467242</v>
      </c>
      <c r="I267" s="43">
        <f t="shared" si="2"/>
        <v>86.426073096016296</v>
      </c>
    </row>
    <row r="268" spans="1:9" ht="15.75" customHeight="1">
      <c r="A268" s="21">
        <v>43001</v>
      </c>
      <c r="B268" s="43">
        <v>28.3451634388</v>
      </c>
      <c r="C268" s="43">
        <v>46.333440236499996</v>
      </c>
      <c r="D268" s="43">
        <v>26179.199999384604</v>
      </c>
      <c r="E268" s="43">
        <v>273.178026804144</v>
      </c>
      <c r="F268" s="43">
        <v>336.772944775344</v>
      </c>
      <c r="G268" s="43">
        <v>32.406910282824001</v>
      </c>
      <c r="H268" s="43">
        <v>117.7414481304</v>
      </c>
      <c r="I268" s="43">
        <f t="shared" si="2"/>
        <v>95.832012207020881</v>
      </c>
    </row>
    <row r="269" spans="1:9" ht="15.75" customHeight="1">
      <c r="A269" s="21">
        <v>43002</v>
      </c>
      <c r="B269" s="43">
        <v>28.890262735699999</v>
      </c>
      <c r="C269" s="43">
        <v>47.968738127199998</v>
      </c>
      <c r="D269" s="43">
        <v>25228.799999406943</v>
      </c>
      <c r="E269" s="43">
        <v>263.95297828653599</v>
      </c>
      <c r="F269" s="43">
        <v>336.52689300938403</v>
      </c>
      <c r="G269" s="43">
        <v>0</v>
      </c>
      <c r="H269" s="43">
        <v>121.01204391179999</v>
      </c>
      <c r="I269" s="43">
        <f t="shared" si="2"/>
        <v>95.580660476653705</v>
      </c>
    </row>
    <row r="270" spans="1:9" ht="15.75" customHeight="1">
      <c r="A270" s="21">
        <v>43003</v>
      </c>
      <c r="B270" s="43">
        <v>28.3451634388</v>
      </c>
      <c r="C270" s="43">
        <v>46.878539533399994</v>
      </c>
      <c r="D270" s="43">
        <v>24623.999999421165</v>
      </c>
      <c r="E270" s="43">
        <v>263.97569075723999</v>
      </c>
      <c r="F270" s="43">
        <v>339.49465584804</v>
      </c>
      <c r="G270" s="43">
        <v>0</v>
      </c>
      <c r="H270" s="43">
        <v>122.10224250559999</v>
      </c>
      <c r="I270" s="43">
        <f t="shared" si="2"/>
        <v>93.281316657548359</v>
      </c>
    </row>
    <row r="271" spans="1:9" ht="15.75" customHeight="1">
      <c r="A271" s="21">
        <v>43004</v>
      </c>
      <c r="B271" s="43">
        <v>28.3451634388</v>
      </c>
      <c r="C271" s="43">
        <v>45.243241642699999</v>
      </c>
      <c r="D271" s="43">
        <v>24019.199999435379</v>
      </c>
      <c r="E271" s="43">
        <v>263.89619710977598</v>
      </c>
      <c r="F271" s="43">
        <v>341.190520327272</v>
      </c>
      <c r="G271" s="43">
        <v>47.098093416528002</v>
      </c>
      <c r="H271" s="43">
        <v>116.65124953659999</v>
      </c>
      <c r="I271" s="43">
        <f t="shared" si="2"/>
        <v>91.017605643797253</v>
      </c>
    </row>
    <row r="272" spans="1:9" ht="15.75" customHeight="1">
      <c r="A272" s="21">
        <v>43005</v>
      </c>
      <c r="B272" s="43">
        <v>27.800064141899995</v>
      </c>
      <c r="C272" s="43">
        <v>45.788340939599998</v>
      </c>
      <c r="D272" s="43">
        <v>22809.599999463815</v>
      </c>
      <c r="E272" s="43">
        <v>264.02111569864803</v>
      </c>
      <c r="F272" s="43">
        <v>338.69214854983204</v>
      </c>
      <c r="G272" s="43">
        <v>0</v>
      </c>
      <c r="H272" s="43">
        <v>121.5571432087</v>
      </c>
      <c r="I272" s="43">
        <f t="shared" si="2"/>
        <v>86.393089958374929</v>
      </c>
    </row>
    <row r="273" spans="1:9" ht="15.75" customHeight="1">
      <c r="A273" s="21">
        <v>43006</v>
      </c>
      <c r="B273" s="43">
        <v>27.800064141899995</v>
      </c>
      <c r="C273" s="43">
        <v>46.878539533399994</v>
      </c>
      <c r="D273" s="43">
        <v>21686.399999490219</v>
      </c>
      <c r="E273" s="43">
        <v>264.02490111043198</v>
      </c>
      <c r="F273" s="43">
        <v>335.75845441723203</v>
      </c>
      <c r="G273" s="43">
        <v>0</v>
      </c>
      <c r="H273" s="43">
        <v>119.921845318</v>
      </c>
      <c r="I273" s="43">
        <f t="shared" si="2"/>
        <v>82.137707118843267</v>
      </c>
    </row>
    <row r="274" spans="1:9" ht="15.75" customHeight="1">
      <c r="A274" s="21">
        <v>43007</v>
      </c>
      <c r="B274" s="43">
        <v>26.164766251199996</v>
      </c>
      <c r="C274" s="43">
        <v>43.607943751999997</v>
      </c>
      <c r="D274" s="43">
        <v>20822.399999510526</v>
      </c>
      <c r="E274" s="43">
        <v>263.94919287475199</v>
      </c>
      <c r="F274" s="43">
        <v>333.33579087547201</v>
      </c>
      <c r="G274" s="43">
        <v>0</v>
      </c>
      <c r="H274" s="43">
        <v>119.37674602109999</v>
      </c>
      <c r="I274" s="43">
        <f t="shared" si="2"/>
        <v>78.887909346216787</v>
      </c>
    </row>
    <row r="275" spans="1:9" ht="15.75" customHeight="1">
      <c r="A275" s="21">
        <v>43008</v>
      </c>
      <c r="B275" s="43">
        <v>26.164766251199996</v>
      </c>
      <c r="C275" s="43">
        <v>41.972645861299995</v>
      </c>
      <c r="D275" s="43">
        <v>23414.399999449597</v>
      </c>
      <c r="E275" s="43">
        <v>263.979476169024</v>
      </c>
      <c r="F275" s="43">
        <v>331.54907651342404</v>
      </c>
      <c r="G275" s="43">
        <v>0</v>
      </c>
      <c r="H275" s="43">
        <v>117.1963488335</v>
      </c>
      <c r="I275" s="43">
        <f t="shared" si="2"/>
        <v>88.697804614391842</v>
      </c>
    </row>
    <row r="276" spans="1:9" ht="15.75" customHeight="1">
      <c r="A276" s="21">
        <v>43009</v>
      </c>
      <c r="B276" s="43">
        <v>25.074567657399996</v>
      </c>
      <c r="C276" s="43">
        <v>41.427546564399996</v>
      </c>
      <c r="D276" s="43">
        <v>23673.599999443504</v>
      </c>
      <c r="E276" s="43">
        <v>263.979476169024</v>
      </c>
      <c r="F276" s="43">
        <v>329.28540026659203</v>
      </c>
      <c r="G276" s="43">
        <v>28.905404382624003</v>
      </c>
      <c r="H276" s="43">
        <v>124.2826396932</v>
      </c>
      <c r="I276" s="43">
        <f t="shared" si="2"/>
        <v>89.679699130418314</v>
      </c>
    </row>
    <row r="277" spans="1:9" ht="15.75" customHeight="1">
      <c r="A277" s="21">
        <v>43010</v>
      </c>
      <c r="B277" s="43">
        <v>24.529468360499997</v>
      </c>
      <c r="C277" s="43">
        <v>41.427546564399996</v>
      </c>
      <c r="D277" s="43">
        <v>14342.399999662854</v>
      </c>
      <c r="E277" s="43">
        <v>263.94919287475199</v>
      </c>
      <c r="F277" s="43">
        <v>327.33969860961599</v>
      </c>
      <c r="G277" s="43">
        <v>0</v>
      </c>
      <c r="H277" s="43">
        <v>119.921845318</v>
      </c>
      <c r="I277" s="43">
        <f t="shared" si="2"/>
        <v>54.337730089095388</v>
      </c>
    </row>
    <row r="278" spans="1:9" ht="15.75" customHeight="1">
      <c r="A278" s="21">
        <v>43011</v>
      </c>
      <c r="B278" s="43">
        <v>25.074567657399996</v>
      </c>
      <c r="C278" s="43">
        <v>41.972645861299995</v>
      </c>
      <c r="D278" s="43">
        <v>12787.199999699409</v>
      </c>
      <c r="E278" s="43">
        <v>207.376213762872</v>
      </c>
      <c r="F278" s="43">
        <v>296.69300480635201</v>
      </c>
      <c r="G278" s="43">
        <v>38.898891492384003</v>
      </c>
      <c r="H278" s="43">
        <v>114.470852349</v>
      </c>
      <c r="I278" s="43">
        <f t="shared" si="2"/>
        <v>61.661845240945325</v>
      </c>
    </row>
    <row r="279" spans="1:9" ht="15.75" customHeight="1">
      <c r="A279" s="21">
        <v>43012</v>
      </c>
      <c r="B279" s="43">
        <v>25.074567657399996</v>
      </c>
      <c r="C279" s="43">
        <v>106.83946219240001</v>
      </c>
      <c r="D279" s="43">
        <v>12009.59999971769</v>
      </c>
      <c r="E279" s="43">
        <v>211.078346487624</v>
      </c>
      <c r="F279" s="43">
        <v>286.38532851852</v>
      </c>
      <c r="G279" s="43">
        <v>0</v>
      </c>
      <c r="H279" s="43">
        <v>121.01204391179999</v>
      </c>
      <c r="I279" s="43">
        <f t="shared" si="2"/>
        <v>56.896409317010828</v>
      </c>
    </row>
    <row r="280" spans="1:9" ht="15.75" customHeight="1">
      <c r="A280" s="21">
        <v>43013</v>
      </c>
      <c r="B280" s="43">
        <v>23.984369063599999</v>
      </c>
      <c r="C280" s="43">
        <v>40.3373479706</v>
      </c>
      <c r="D280" s="43">
        <v>12182.400000140999</v>
      </c>
      <c r="E280" s="43">
        <v>212.592511201224</v>
      </c>
      <c r="F280" s="43">
        <v>284.16707721309604</v>
      </c>
      <c r="G280" s="43">
        <v>0</v>
      </c>
      <c r="H280" s="43">
        <v>117.7414481304</v>
      </c>
      <c r="I280" s="43">
        <f t="shared" si="2"/>
        <v>57.30399406501229</v>
      </c>
    </row>
    <row r="281" spans="1:9" ht="15.75" customHeight="1">
      <c r="A281" s="21">
        <v>43014</v>
      </c>
      <c r="B281" s="43">
        <v>25.074567657399996</v>
      </c>
      <c r="C281" s="43">
        <v>41.972645861299995</v>
      </c>
      <c r="D281" s="43">
        <v>11664.000000135</v>
      </c>
      <c r="E281" s="43">
        <v>200.66089325805601</v>
      </c>
      <c r="F281" s="43">
        <v>281.88068849556004</v>
      </c>
      <c r="G281" s="43">
        <v>35.457952180728</v>
      </c>
      <c r="H281" s="43">
        <v>114.470852349</v>
      </c>
      <c r="I281" s="43">
        <f t="shared" si="2"/>
        <v>58.127918254279578</v>
      </c>
    </row>
    <row r="282" spans="1:9" ht="15.75" customHeight="1">
      <c r="A282" s="21">
        <v>43015</v>
      </c>
      <c r="B282" s="43">
        <v>26.164766251199996</v>
      </c>
      <c r="C282" s="43">
        <v>45.243241642699999</v>
      </c>
      <c r="D282" s="43">
        <v>17712.000000204996</v>
      </c>
      <c r="E282" s="43">
        <v>211.089702722976</v>
      </c>
      <c r="F282" s="43">
        <v>280.81320237247201</v>
      </c>
      <c r="G282" s="43">
        <v>0</v>
      </c>
      <c r="H282" s="43">
        <v>115.0159516459</v>
      </c>
      <c r="I282" s="43">
        <f t="shared" si="2"/>
        <v>83.90745626966644</v>
      </c>
    </row>
    <row r="283" spans="1:9" ht="15.75" customHeight="1">
      <c r="A283" s="21">
        <v>43016</v>
      </c>
      <c r="B283" s="43">
        <v>26.709865548100002</v>
      </c>
      <c r="C283" s="43">
        <v>43.062844455099999</v>
      </c>
      <c r="D283" s="43">
        <v>19785.600000228998</v>
      </c>
      <c r="E283" s="43">
        <v>251.35512786938401</v>
      </c>
      <c r="F283" s="43">
        <v>279.24982730568001</v>
      </c>
      <c r="G283" s="43">
        <v>0</v>
      </c>
      <c r="H283" s="43">
        <v>114.470852349</v>
      </c>
      <c r="I283" s="43">
        <f t="shared" si="2"/>
        <v>78.715720534297319</v>
      </c>
    </row>
    <row r="284" spans="1:9" ht="15.75" customHeight="1">
      <c r="A284" s="21">
        <v>43017</v>
      </c>
      <c r="B284" s="43">
        <v>27.254964844999996</v>
      </c>
      <c r="C284" s="43">
        <v>45.243241642699999</v>
      </c>
      <c r="D284" s="43">
        <v>16243.200000187999</v>
      </c>
      <c r="E284" s="43">
        <v>237.47402285745602</v>
      </c>
      <c r="F284" s="43">
        <v>282.70590826447199</v>
      </c>
      <c r="G284" s="43">
        <v>27.887128612728002</v>
      </c>
      <c r="H284" s="43">
        <v>119.37674602109999</v>
      </c>
      <c r="I284" s="43">
        <f t="shared" si="2"/>
        <v>68.399902459807123</v>
      </c>
    </row>
    <row r="285" spans="1:9" ht="15.75" customHeight="1">
      <c r="A285" s="21">
        <v>43018</v>
      </c>
      <c r="B285" s="43">
        <v>27.254964844999996</v>
      </c>
      <c r="C285" s="43">
        <v>43.607943751999997</v>
      </c>
      <c r="D285" s="43">
        <v>14774.400000170999</v>
      </c>
      <c r="E285" s="43">
        <v>237.44373956318401</v>
      </c>
      <c r="F285" s="43">
        <v>281.169031080168</v>
      </c>
      <c r="G285" s="43">
        <v>33.039074050751999</v>
      </c>
      <c r="H285" s="43">
        <v>117.7414481304</v>
      </c>
      <c r="I285" s="43">
        <f t="shared" si="2"/>
        <v>62.222739699732188</v>
      </c>
    </row>
    <row r="286" spans="1:9" ht="15.75" customHeight="1">
      <c r="A286" s="21">
        <v>43019</v>
      </c>
      <c r="B286" s="43">
        <v>26.709865548100002</v>
      </c>
      <c r="C286" s="43">
        <v>44.153043048899995</v>
      </c>
      <c r="D286" s="43">
        <v>14169.600000163999</v>
      </c>
      <c r="E286" s="43">
        <v>237.49294991637601</v>
      </c>
      <c r="F286" s="43">
        <v>280.49901319439999</v>
      </c>
      <c r="G286" s="43">
        <v>0</v>
      </c>
      <c r="H286" s="43">
        <v>114.470852349</v>
      </c>
      <c r="I286" s="43">
        <f t="shared" si="2"/>
        <v>59.663244762226739</v>
      </c>
    </row>
    <row r="287" spans="1:9" ht="15.75" customHeight="1">
      <c r="A287" s="21">
        <v>43020</v>
      </c>
      <c r="B287" s="43">
        <v>26.164766251199996</v>
      </c>
      <c r="C287" s="43">
        <v>43.607943751999997</v>
      </c>
      <c r="D287" s="43">
        <v>13737.600000158998</v>
      </c>
      <c r="E287" s="43">
        <v>225.82252538630402</v>
      </c>
      <c r="F287" s="43">
        <v>278.74258212662403</v>
      </c>
      <c r="G287" s="43">
        <v>0</v>
      </c>
      <c r="H287" s="43">
        <v>118.28654742729999</v>
      </c>
      <c r="I287" s="43">
        <f t="shared" si="2"/>
        <v>60.833612486879815</v>
      </c>
    </row>
    <row r="288" spans="1:9" ht="15.75" customHeight="1">
      <c r="A288" s="21">
        <v>43021</v>
      </c>
      <c r="B288" s="43">
        <v>26.164766251199996</v>
      </c>
      <c r="C288" s="43">
        <v>43.607943751999997</v>
      </c>
      <c r="D288" s="43">
        <v>13910.400000160998</v>
      </c>
      <c r="E288" s="43">
        <v>214.38301097505601</v>
      </c>
      <c r="F288" s="43">
        <v>278.75015295019199</v>
      </c>
      <c r="G288" s="43">
        <v>0</v>
      </c>
      <c r="H288" s="43">
        <v>117.7414481304</v>
      </c>
      <c r="I288" s="43">
        <f t="shared" si="2"/>
        <v>64.885738552200422</v>
      </c>
    </row>
    <row r="289" spans="1:15" ht="15.75" customHeight="1">
      <c r="A289" s="21">
        <v>43022</v>
      </c>
      <c r="B289" s="43">
        <v>26.164766251199996</v>
      </c>
      <c r="C289" s="43">
        <v>43.607943751999997</v>
      </c>
      <c r="D289" s="43">
        <v>13132.800000151999</v>
      </c>
      <c r="E289" s="43">
        <v>213.300383204832</v>
      </c>
      <c r="F289" s="43">
        <v>278.00442682874399</v>
      </c>
      <c r="G289" s="43">
        <v>34.33368488088</v>
      </c>
      <c r="H289" s="43">
        <v>113.92575305209998</v>
      </c>
      <c r="I289" s="43">
        <f t="shared" si="2"/>
        <v>61.569509640967659</v>
      </c>
    </row>
    <row r="290" spans="1:15" ht="15.75" customHeight="1">
      <c r="A290" s="21">
        <v>43023</v>
      </c>
      <c r="B290" s="43">
        <v>25.619666954299998</v>
      </c>
      <c r="C290" s="43">
        <v>41.972645861299995</v>
      </c>
      <c r="D290" s="43">
        <v>16243.200000187999</v>
      </c>
      <c r="E290" s="43">
        <v>218.350122524688</v>
      </c>
      <c r="F290" s="43">
        <v>237.76171415304</v>
      </c>
      <c r="G290" s="43">
        <v>0</v>
      </c>
      <c r="H290" s="43">
        <v>117.7414481304</v>
      </c>
      <c r="I290" s="43">
        <f t="shared" si="2"/>
        <v>74.390615459130061</v>
      </c>
    </row>
    <row r="291" spans="1:15" ht="15.75" customHeight="1">
      <c r="A291" s="21">
        <v>43024</v>
      </c>
      <c r="B291" s="43">
        <v>26.164766251199996</v>
      </c>
      <c r="C291" s="43">
        <v>44.698142345799994</v>
      </c>
      <c r="D291" s="43">
        <v>16243.200000187999</v>
      </c>
      <c r="E291" s="43">
        <v>237.58758521097602</v>
      </c>
      <c r="F291" s="43">
        <v>217.589254756104</v>
      </c>
      <c r="G291" s="43">
        <v>0</v>
      </c>
      <c r="H291" s="43">
        <v>114.470852349</v>
      </c>
      <c r="I291" s="43">
        <f t="shared" si="2"/>
        <v>68.367208605467141</v>
      </c>
    </row>
    <row r="292" spans="1:15" ht="15.75" customHeight="1">
      <c r="A292" s="21">
        <v>43025</v>
      </c>
      <c r="B292" s="43">
        <v>13.082383125599998</v>
      </c>
      <c r="C292" s="43">
        <v>20.713773282199998</v>
      </c>
      <c r="D292" s="43">
        <v>22982.400000266</v>
      </c>
      <c r="E292" s="43">
        <v>249.205013976072</v>
      </c>
      <c r="F292" s="43">
        <v>184.07700423235201</v>
      </c>
      <c r="G292" s="43">
        <v>30.839749804248001</v>
      </c>
      <c r="H292" s="43">
        <v>59.960922658999998</v>
      </c>
      <c r="I292" s="43">
        <f t="shared" si="2"/>
        <v>92.222863551504261</v>
      </c>
    </row>
    <row r="293" spans="1:15" ht="15.75" customHeight="1">
      <c r="A293" s="21">
        <v>43026</v>
      </c>
      <c r="B293" s="43">
        <v>21.803971875999999</v>
      </c>
      <c r="C293" s="43">
        <v>41.972645861299995</v>
      </c>
      <c r="D293" s="43">
        <v>29376.000000339998</v>
      </c>
      <c r="E293" s="43">
        <v>448.93848134704803</v>
      </c>
      <c r="F293" s="43">
        <v>285.42004851360002</v>
      </c>
      <c r="G293" s="43">
        <v>0</v>
      </c>
      <c r="H293" s="43">
        <v>129.18853336529997</v>
      </c>
      <c r="I293" s="43">
        <f t="shared" si="2"/>
        <v>65.434355086239833</v>
      </c>
    </row>
    <row r="294" spans="1:15" ht="15.75" customHeight="1">
      <c r="A294" s="21">
        <v>43027</v>
      </c>
      <c r="B294" s="43">
        <v>23.439269766699997</v>
      </c>
      <c r="C294" s="43">
        <v>43.062844455099999</v>
      </c>
      <c r="D294" s="43">
        <v>39657.600000458995</v>
      </c>
      <c r="E294" s="43">
        <v>469.09958450863201</v>
      </c>
      <c r="F294" s="43">
        <v>177.19134019725601</v>
      </c>
      <c r="G294" s="43">
        <v>0</v>
      </c>
      <c r="H294" s="43">
        <v>113.3806537552</v>
      </c>
      <c r="I294" s="43">
        <f t="shared" si="2"/>
        <v>84.539831861073083</v>
      </c>
    </row>
    <row r="295" spans="1:15" ht="15.75" customHeight="1">
      <c r="A295" s="21">
        <v>43028</v>
      </c>
      <c r="B295" s="43">
        <v>24.529468360499997</v>
      </c>
      <c r="C295" s="43">
        <v>43.062844455099999</v>
      </c>
      <c r="D295" s="43">
        <v>43718.400000505993</v>
      </c>
      <c r="E295" s="43">
        <v>293.25963631826403</v>
      </c>
      <c r="F295" s="43">
        <v>280.71478166608802</v>
      </c>
      <c r="G295" s="43">
        <v>23.931373298448001</v>
      </c>
      <c r="H295" s="43">
        <v>120.4669446149</v>
      </c>
      <c r="I295" s="43">
        <f t="shared" si="2"/>
        <v>149.07745419509422</v>
      </c>
    </row>
    <row r="296" spans="1:15" ht="15.75" customHeight="1">
      <c r="A296" s="21">
        <v>43029</v>
      </c>
      <c r="B296" s="43">
        <v>23.439269766699997</v>
      </c>
      <c r="C296" s="43">
        <v>42.517745158199993</v>
      </c>
      <c r="D296" s="43">
        <v>33868.800000391995</v>
      </c>
      <c r="E296" s="43">
        <v>492.98553286567204</v>
      </c>
      <c r="F296" s="43">
        <v>2.3848094239200002</v>
      </c>
      <c r="G296" s="43">
        <v>0</v>
      </c>
      <c r="H296" s="43">
        <v>121.5571432087</v>
      </c>
      <c r="I296" s="43">
        <f t="shared" si="2"/>
        <v>68.701407531203387</v>
      </c>
    </row>
    <row r="297" spans="1:15" ht="15.75" customHeight="1">
      <c r="A297" s="21">
        <v>43030</v>
      </c>
      <c r="B297" s="43">
        <v>23.439269766699997</v>
      </c>
      <c r="C297" s="43">
        <v>43.062844455099999</v>
      </c>
      <c r="D297" s="43">
        <v>34646.400000401001</v>
      </c>
      <c r="E297" s="43">
        <v>222.18474466188002</v>
      </c>
      <c r="F297" s="43">
        <v>2.7368527198320001</v>
      </c>
      <c r="G297" s="43">
        <v>20.4412236336</v>
      </c>
      <c r="H297" s="43">
        <v>118.8316467242</v>
      </c>
      <c r="I297" s="43">
        <f t="shared" si="2"/>
        <v>155.93509830355714</v>
      </c>
    </row>
    <row r="298" spans="1:15" ht="15.75" customHeight="1">
      <c r="A298" s="21">
        <v>43031</v>
      </c>
      <c r="B298" s="43">
        <v>25.074567657399996</v>
      </c>
      <c r="C298" s="43">
        <v>44.698142345799994</v>
      </c>
      <c r="D298" s="43">
        <v>31795.200000367997</v>
      </c>
      <c r="E298" s="43">
        <v>212.463807200568</v>
      </c>
      <c r="F298" s="43">
        <v>2.87691295584</v>
      </c>
      <c r="G298" s="43">
        <v>22.5838</v>
      </c>
      <c r="H298" s="42">
        <v>1.9978562193333333E-3</v>
      </c>
      <c r="I298" s="43">
        <f t="shared" si="2"/>
        <v>149.64995882970788</v>
      </c>
      <c r="K298" s="115">
        <v>56127</v>
      </c>
      <c r="L298" s="115">
        <v>760</v>
      </c>
      <c r="M298" s="117">
        <f t="shared" ref="M298" si="3">L298/1440</f>
        <v>0.52777777777777779</v>
      </c>
    </row>
    <row r="299" spans="1:15" ht="15.75" customHeight="1">
      <c r="A299" s="21">
        <v>43032</v>
      </c>
      <c r="B299" s="43">
        <v>26.709865548100002</v>
      </c>
      <c r="C299" s="43">
        <v>45.243241642699999</v>
      </c>
      <c r="D299" s="43">
        <v>28771.200000332999</v>
      </c>
      <c r="E299" s="43">
        <v>321.691864227888</v>
      </c>
      <c r="F299" s="43">
        <v>3.0434710743360003</v>
      </c>
      <c r="G299" s="43">
        <v>24.802018008768002</v>
      </c>
      <c r="H299" s="43">
        <v>117.1963488335</v>
      </c>
      <c r="I299" s="43">
        <f t="shared" si="2"/>
        <v>89.437139075271574</v>
      </c>
      <c r="K299" s="19">
        <f>K298*0.003785411784</f>
        <v>212.463807200568</v>
      </c>
      <c r="L299" s="19">
        <f t="shared" ref="L299:M299" si="4">L298*0.003785411784</f>
        <v>2.87691295584</v>
      </c>
      <c r="M299" s="19">
        <f t="shared" si="4"/>
        <v>1.9978562193333333E-3</v>
      </c>
    </row>
    <row r="300" spans="1:15" ht="15.75" customHeight="1">
      <c r="A300" s="21">
        <v>43033</v>
      </c>
      <c r="B300" s="43">
        <v>25.619666954299998</v>
      </c>
      <c r="C300" s="43">
        <v>46.333440236499996</v>
      </c>
      <c r="D300" s="43">
        <v>27475.200000317996</v>
      </c>
      <c r="E300" s="43">
        <v>211.013994487296</v>
      </c>
      <c r="F300" s="43">
        <v>2.82013177908</v>
      </c>
      <c r="G300" s="43">
        <v>24.911794950504</v>
      </c>
      <c r="H300" s="43">
        <v>114.470852349</v>
      </c>
      <c r="I300" s="43">
        <f t="shared" si="2"/>
        <v>130.20558217986877</v>
      </c>
    </row>
    <row r="301" spans="1:15" ht="15.75" customHeight="1">
      <c r="A301" s="21">
        <v>43034</v>
      </c>
      <c r="B301" s="43">
        <v>25.619666954299998</v>
      </c>
      <c r="C301" s="43">
        <v>47.423638830299993</v>
      </c>
      <c r="D301" s="43">
        <v>34992.000000405002</v>
      </c>
      <c r="E301" s="43">
        <v>210.908002957344</v>
      </c>
      <c r="F301" s="43">
        <v>2.210680481856</v>
      </c>
      <c r="G301" s="43">
        <v>0</v>
      </c>
      <c r="H301" s="43">
        <v>116.65124953659999</v>
      </c>
      <c r="I301" s="43">
        <f t="shared" si="2"/>
        <v>165.91120066450068</v>
      </c>
    </row>
    <row r="302" spans="1:15" ht="15.75" customHeight="1">
      <c r="A302" s="21">
        <v>43035</v>
      </c>
      <c r="B302" s="43">
        <v>26.709865548100002</v>
      </c>
      <c r="C302" s="43">
        <v>45.243241642699999</v>
      </c>
      <c r="D302" s="43">
        <v>33177.600000383994</v>
      </c>
      <c r="E302" s="43">
        <v>211.17676719400802</v>
      </c>
      <c r="F302" s="43">
        <v>0</v>
      </c>
      <c r="G302" s="43">
        <v>0</v>
      </c>
      <c r="H302" s="43">
        <v>115.0159516459</v>
      </c>
      <c r="I302" s="43">
        <f t="shared" si="2"/>
        <v>157.10819159336663</v>
      </c>
    </row>
    <row r="303" spans="1:15" ht="15.75" customHeight="1">
      <c r="A303" s="21">
        <v>43036</v>
      </c>
      <c r="B303" s="43">
        <v>26.853711195696</v>
      </c>
      <c r="C303" s="43">
        <v>44.739781875096</v>
      </c>
      <c r="D303" s="43">
        <v>31449.600000363997</v>
      </c>
      <c r="E303" s="43">
        <v>211.05563401692001</v>
      </c>
      <c r="F303" s="43">
        <v>2.5551529542</v>
      </c>
      <c r="G303" s="43">
        <v>0</v>
      </c>
      <c r="H303" s="42">
        <v>1.7744117737500001E-3</v>
      </c>
      <c r="I303" s="43">
        <f t="shared" si="2"/>
        <v>149.01094750137176</v>
      </c>
      <c r="K303" s="116">
        <v>7094</v>
      </c>
      <c r="L303" s="116">
        <v>11819</v>
      </c>
      <c r="M303" s="116">
        <v>55755</v>
      </c>
      <c r="N303" s="116">
        <v>675</v>
      </c>
      <c r="O303" s="117">
        <f t="shared" ref="O303" si="5">N303/1440</f>
        <v>0.46875</v>
      </c>
    </row>
    <row r="304" spans="1:15" ht="15.75" customHeight="1">
      <c r="A304" s="21">
        <v>43037</v>
      </c>
      <c r="B304" s="43">
        <v>26.164766251199996</v>
      </c>
      <c r="C304" s="43">
        <v>42.517745158199993</v>
      </c>
      <c r="D304" s="43">
        <v>29376.000000339998</v>
      </c>
      <c r="E304" s="43">
        <v>196.06161794049601</v>
      </c>
      <c r="F304" s="43">
        <v>2.2182513054240003</v>
      </c>
      <c r="G304" s="43">
        <v>176.26769972196001</v>
      </c>
      <c r="H304" s="43">
        <v>115.56105094279999</v>
      </c>
      <c r="I304" s="43">
        <f t="shared" si="2"/>
        <v>149.83044773840186</v>
      </c>
      <c r="K304" s="19">
        <f>K303*0.003785411784</f>
        <v>26.853711195696</v>
      </c>
      <c r="L304" s="19">
        <f t="shared" ref="L304:O304" si="6">L303*0.003785411784</f>
        <v>44.739781875096</v>
      </c>
      <c r="M304" s="19">
        <f t="shared" si="6"/>
        <v>211.05563401692001</v>
      </c>
      <c r="N304" s="19">
        <f t="shared" si="6"/>
        <v>2.5551529542</v>
      </c>
      <c r="O304" s="19">
        <f t="shared" si="6"/>
        <v>1.7744117737500001E-3</v>
      </c>
    </row>
    <row r="305" spans="1:9" ht="15.75" customHeight="1">
      <c r="A305" s="21">
        <v>43038</v>
      </c>
      <c r="B305" s="43">
        <v>26.709865548100002</v>
      </c>
      <c r="C305" s="43">
        <v>45.788340939599998</v>
      </c>
      <c r="D305" s="43">
        <v>20822.400000240999</v>
      </c>
      <c r="E305" s="43">
        <v>227.211771511032</v>
      </c>
      <c r="F305" s="43">
        <v>2.15768471688</v>
      </c>
      <c r="G305" s="43">
        <v>390.317594460024</v>
      </c>
      <c r="H305" s="43">
        <v>118.8316467242</v>
      </c>
      <c r="I305" s="43">
        <f t="shared" si="2"/>
        <v>91.643139181413375</v>
      </c>
    </row>
    <row r="306" spans="1:9" ht="15.75" customHeight="1">
      <c r="A306" s="21">
        <v>43039</v>
      </c>
      <c r="B306" s="43">
        <v>26.709865548100002</v>
      </c>
      <c r="C306" s="43">
        <v>45.788340939599998</v>
      </c>
      <c r="D306" s="43">
        <v>18835.200000217999</v>
      </c>
      <c r="E306" s="43">
        <v>4.5424941408000006</v>
      </c>
      <c r="F306" s="43">
        <v>2.3545261296480002</v>
      </c>
      <c r="G306" s="43">
        <v>382.53478783212</v>
      </c>
      <c r="H306" s="43">
        <v>115.0159516459</v>
      </c>
      <c r="I306" s="43">
        <f t="shared" si="2"/>
        <v>4146.4445338614878</v>
      </c>
    </row>
    <row r="307" spans="1:9" ht="15.75" customHeight="1">
      <c r="A307" s="21">
        <v>43040</v>
      </c>
      <c r="B307" s="43">
        <v>26.164766251199996</v>
      </c>
      <c r="C307" s="43">
        <v>45.243241642699999</v>
      </c>
      <c r="D307" s="43">
        <v>39225.600000453996</v>
      </c>
      <c r="E307" s="43">
        <v>0</v>
      </c>
      <c r="F307" s="43">
        <v>0</v>
      </c>
      <c r="G307" s="43">
        <v>50.504964022128</v>
      </c>
      <c r="H307" s="43">
        <v>121.01204391179999</v>
      </c>
      <c r="I307" s="84" t="s">
        <v>96</v>
      </c>
    </row>
    <row r="308" spans="1:9" ht="15.75" customHeight="1">
      <c r="A308" s="21">
        <v>43041</v>
      </c>
      <c r="B308" s="43">
        <v>25.619666954299998</v>
      </c>
      <c r="C308" s="43">
        <v>45.243241642699999</v>
      </c>
      <c r="D308" s="43">
        <v>26265.600000303999</v>
      </c>
      <c r="E308" s="43">
        <v>0</v>
      </c>
      <c r="F308" s="43">
        <v>0</v>
      </c>
      <c r="G308" s="43">
        <v>0</v>
      </c>
      <c r="H308" s="43">
        <v>117.1963488335</v>
      </c>
      <c r="I308" s="84" t="s">
        <v>96</v>
      </c>
    </row>
    <row r="309" spans="1:9" ht="15.75" customHeight="1">
      <c r="A309" s="21">
        <v>43042</v>
      </c>
      <c r="B309" s="43">
        <v>24.529468360499997</v>
      </c>
      <c r="C309" s="43">
        <v>45.243241642699999</v>
      </c>
      <c r="D309" s="43">
        <v>10195.200000117999</v>
      </c>
      <c r="E309" s="43">
        <v>0</v>
      </c>
      <c r="F309" s="43">
        <v>0</v>
      </c>
      <c r="G309" s="43">
        <v>0</v>
      </c>
      <c r="H309" s="43">
        <v>121.01204391179999</v>
      </c>
      <c r="I309" s="84" t="s">
        <v>96</v>
      </c>
    </row>
    <row r="310" spans="1:9" ht="15.75" customHeight="1">
      <c r="A310" s="21">
        <v>43043</v>
      </c>
      <c r="B310" s="43">
        <v>23.984369063599999</v>
      </c>
      <c r="C310" s="43">
        <v>43.062844455099999</v>
      </c>
      <c r="D310" s="43">
        <v>13478.400000156</v>
      </c>
      <c r="E310" s="43">
        <v>0</v>
      </c>
      <c r="F310" s="43">
        <v>0</v>
      </c>
      <c r="G310" s="43">
        <v>0</v>
      </c>
      <c r="H310" s="43">
        <v>113.3806537552</v>
      </c>
      <c r="I310" s="84" t="s">
        <v>96</v>
      </c>
    </row>
    <row r="311" spans="1:9" ht="15.75" customHeight="1">
      <c r="A311" s="21">
        <v>43044</v>
      </c>
      <c r="B311" s="43">
        <v>23.984369063599999</v>
      </c>
      <c r="C311" s="43">
        <v>42.517745158199993</v>
      </c>
      <c r="D311" s="43">
        <v>31795.200000367997</v>
      </c>
      <c r="E311" s="43">
        <v>0</v>
      </c>
      <c r="F311" s="43">
        <v>0</v>
      </c>
      <c r="G311" s="43">
        <v>0</v>
      </c>
      <c r="H311" s="43">
        <v>121.01204391179999</v>
      </c>
      <c r="I311" s="84" t="s">
        <v>96</v>
      </c>
    </row>
    <row r="312" spans="1:9" ht="15.75" customHeight="1">
      <c r="A312" s="21">
        <v>43045</v>
      </c>
      <c r="B312" s="43">
        <v>25.074567657399996</v>
      </c>
      <c r="C312" s="43">
        <v>40.3373479706</v>
      </c>
      <c r="D312" s="43">
        <v>21600.000000249998</v>
      </c>
      <c r="E312" s="43">
        <v>0</v>
      </c>
      <c r="F312" s="43">
        <v>0</v>
      </c>
      <c r="G312" s="43">
        <v>0</v>
      </c>
      <c r="H312" s="43">
        <v>113.92575305209998</v>
      </c>
      <c r="I312" s="84" t="s">
        <v>96</v>
      </c>
    </row>
    <row r="313" spans="1:9" ht="15.75" customHeight="1">
      <c r="A313" s="21">
        <v>43046</v>
      </c>
      <c r="B313" s="43">
        <v>26.164766251199996</v>
      </c>
      <c r="C313" s="43">
        <v>42.517745158199993</v>
      </c>
      <c r="D313" s="43">
        <v>15811.200000182998</v>
      </c>
      <c r="E313" s="43">
        <v>0</v>
      </c>
      <c r="F313" s="43">
        <v>0</v>
      </c>
      <c r="G313" s="43">
        <v>0</v>
      </c>
      <c r="H313" s="43">
        <v>119.921845318</v>
      </c>
      <c r="I313" s="84" t="s">
        <v>96</v>
      </c>
    </row>
    <row r="314" spans="1:9" ht="15.75" customHeight="1">
      <c r="A314" s="21">
        <v>43047</v>
      </c>
      <c r="B314" s="43">
        <v>27.800064141899995</v>
      </c>
      <c r="C314" s="43">
        <v>43.062844455099999</v>
      </c>
      <c r="D314" s="43">
        <v>40435.200000468001</v>
      </c>
      <c r="E314" s="43">
        <v>0</v>
      </c>
      <c r="F314" s="43">
        <v>0</v>
      </c>
      <c r="G314" s="43">
        <v>0</v>
      </c>
      <c r="H314" s="43">
        <v>117.1963488335</v>
      </c>
      <c r="I314" s="84" t="s">
        <v>96</v>
      </c>
    </row>
    <row r="315" spans="1:9" ht="15.75" customHeight="1">
      <c r="A315" s="21">
        <v>43048</v>
      </c>
      <c r="B315" s="43">
        <v>28.890262735699999</v>
      </c>
      <c r="C315" s="43">
        <v>45.243241642699999</v>
      </c>
      <c r="D315" s="43">
        <v>31795.200000367997</v>
      </c>
      <c r="E315" s="43">
        <v>0</v>
      </c>
      <c r="F315" s="43">
        <v>0</v>
      </c>
      <c r="G315" s="43">
        <v>0</v>
      </c>
      <c r="H315" s="43">
        <v>117.1963488335</v>
      </c>
      <c r="I315" s="84" t="s">
        <v>96</v>
      </c>
    </row>
    <row r="316" spans="1:9" ht="15.75" customHeight="1">
      <c r="A316" s="21">
        <v>43049</v>
      </c>
      <c r="B316" s="43">
        <v>29.980461329499999</v>
      </c>
      <c r="C316" s="43">
        <v>47.423638830299993</v>
      </c>
      <c r="D316" s="43">
        <v>40435.200000468001</v>
      </c>
      <c r="E316" s="43">
        <v>0</v>
      </c>
      <c r="F316" s="43">
        <v>0</v>
      </c>
      <c r="G316" s="43">
        <v>0</v>
      </c>
      <c r="H316" s="43">
        <v>116.65124953659999</v>
      </c>
      <c r="I316" s="84" t="s">
        <v>96</v>
      </c>
    </row>
    <row r="317" spans="1:9" ht="15.75" customHeight="1">
      <c r="A317" s="21">
        <v>43050</v>
      </c>
      <c r="B317" s="43">
        <v>29.435362032600001</v>
      </c>
      <c r="C317" s="43">
        <v>47.423638830299993</v>
      </c>
      <c r="D317" s="43">
        <v>34300.800000397001</v>
      </c>
      <c r="E317" s="43">
        <v>0</v>
      </c>
      <c r="F317" s="43">
        <v>0</v>
      </c>
      <c r="G317" s="43">
        <v>0</v>
      </c>
      <c r="H317" s="43">
        <v>119.37674602109999</v>
      </c>
      <c r="I317" s="84" t="s">
        <v>96</v>
      </c>
    </row>
    <row r="318" spans="1:9" ht="15.75" customHeight="1">
      <c r="A318" s="21">
        <v>43051</v>
      </c>
      <c r="B318" s="43">
        <v>28.890262735699999</v>
      </c>
      <c r="C318" s="43">
        <v>45.788340939599998</v>
      </c>
      <c r="D318" s="43">
        <v>23328.00000027</v>
      </c>
      <c r="E318" s="43">
        <v>0</v>
      </c>
      <c r="F318" s="43">
        <v>0</v>
      </c>
      <c r="G318" s="43">
        <v>0</v>
      </c>
      <c r="H318" s="43">
        <v>115.56105094279999</v>
      </c>
      <c r="I318" s="84" t="s">
        <v>96</v>
      </c>
    </row>
    <row r="319" spans="1:9" ht="15.75" customHeight="1">
      <c r="A319" s="21">
        <v>43052</v>
      </c>
      <c r="B319" s="43">
        <v>28.890262735699999</v>
      </c>
      <c r="C319" s="43">
        <v>46.333440236499996</v>
      </c>
      <c r="D319" s="43">
        <v>26265.600000303999</v>
      </c>
      <c r="E319" s="43">
        <v>0</v>
      </c>
      <c r="F319" s="43">
        <v>0</v>
      </c>
      <c r="G319" s="43">
        <v>0</v>
      </c>
      <c r="H319" s="43">
        <v>119.921845318</v>
      </c>
      <c r="I319" s="84" t="s">
        <v>96</v>
      </c>
    </row>
    <row r="320" spans="1:9" ht="15.75" customHeight="1">
      <c r="A320" s="21">
        <v>43053</v>
      </c>
      <c r="B320" s="43">
        <v>28.890262735699999</v>
      </c>
      <c r="C320" s="43">
        <v>46.333440236499996</v>
      </c>
      <c r="D320" s="43">
        <v>23846.400000276</v>
      </c>
      <c r="E320" s="43">
        <v>0</v>
      </c>
      <c r="F320" s="43">
        <v>0</v>
      </c>
      <c r="G320" s="43">
        <v>0</v>
      </c>
      <c r="H320" s="43">
        <v>121.01204391179999</v>
      </c>
      <c r="I320" s="84" t="s">
        <v>96</v>
      </c>
    </row>
    <row r="321" spans="1:13" ht="15.75" customHeight="1">
      <c r="A321" s="21">
        <v>43054</v>
      </c>
      <c r="B321" s="43">
        <v>28.3451634388</v>
      </c>
      <c r="C321" s="43">
        <v>45.788340939599998</v>
      </c>
      <c r="D321" s="43">
        <v>23846.400000276</v>
      </c>
      <c r="E321" s="43">
        <v>0</v>
      </c>
      <c r="F321" s="43">
        <v>0</v>
      </c>
      <c r="G321" s="43">
        <v>0</v>
      </c>
      <c r="H321" s="43">
        <v>119.921845318</v>
      </c>
      <c r="I321" s="84" t="s">
        <v>96</v>
      </c>
    </row>
    <row r="322" spans="1:13" ht="15.75" customHeight="1">
      <c r="A322" s="21">
        <v>43055</v>
      </c>
      <c r="B322" s="43">
        <v>26.164766251199996</v>
      </c>
      <c r="C322" s="43">
        <v>43.062844455099999</v>
      </c>
      <c r="D322" s="43">
        <v>20908.800000241998</v>
      </c>
      <c r="E322" s="43">
        <v>0</v>
      </c>
      <c r="F322" s="43">
        <v>0</v>
      </c>
      <c r="G322" s="43">
        <v>0</v>
      </c>
      <c r="H322" s="43">
        <v>120.4669446149</v>
      </c>
      <c r="I322" s="84" t="s">
        <v>96</v>
      </c>
    </row>
    <row r="323" spans="1:13" ht="15.75" customHeight="1">
      <c r="A323" s="21">
        <v>43056</v>
      </c>
      <c r="B323" s="43">
        <v>25.619666954299998</v>
      </c>
      <c r="C323" s="43">
        <v>40.882447267499998</v>
      </c>
      <c r="D323" s="43">
        <v>20390.400000235997</v>
      </c>
      <c r="E323" s="43">
        <v>0</v>
      </c>
      <c r="F323" s="43">
        <v>0</v>
      </c>
      <c r="G323" s="43">
        <v>0</v>
      </c>
      <c r="H323" s="43">
        <v>115.56105094279999</v>
      </c>
      <c r="I323" s="84" t="s">
        <v>96</v>
      </c>
    </row>
    <row r="324" spans="1:13" ht="15.75" customHeight="1">
      <c r="A324" s="21">
        <v>43057</v>
      </c>
      <c r="B324" s="43">
        <v>25.619666954299998</v>
      </c>
      <c r="C324" s="43">
        <v>40.882447267499998</v>
      </c>
      <c r="D324" s="43">
        <v>19872.00000023</v>
      </c>
      <c r="E324" s="43">
        <v>0</v>
      </c>
      <c r="F324" s="43">
        <v>0</v>
      </c>
      <c r="G324" s="43">
        <v>0</v>
      </c>
      <c r="H324" s="43">
        <v>110.11005797379998</v>
      </c>
      <c r="I324" s="84" t="s">
        <v>96</v>
      </c>
    </row>
    <row r="325" spans="1:13" ht="15.75" customHeight="1">
      <c r="A325" s="21">
        <v>43058</v>
      </c>
      <c r="B325" s="43">
        <v>27.254964844999996</v>
      </c>
      <c r="C325" s="43">
        <v>41.427546564399996</v>
      </c>
      <c r="D325" s="43">
        <v>19094.400000220998</v>
      </c>
      <c r="E325" s="43">
        <v>0</v>
      </c>
      <c r="F325" s="43">
        <v>0</v>
      </c>
      <c r="G325" s="43">
        <v>0</v>
      </c>
      <c r="H325" s="43">
        <v>115.56105094279999</v>
      </c>
      <c r="I325" s="84" t="s">
        <v>96</v>
      </c>
    </row>
    <row r="326" spans="1:13" ht="15.75" customHeight="1">
      <c r="A326" s="21">
        <v>43059</v>
      </c>
      <c r="B326" s="43">
        <v>27.800064141899995</v>
      </c>
      <c r="C326" s="43">
        <v>43.607943751999997</v>
      </c>
      <c r="D326" s="43">
        <v>20304.000000234999</v>
      </c>
      <c r="E326" s="43">
        <v>0</v>
      </c>
      <c r="F326" s="43">
        <v>0</v>
      </c>
      <c r="G326" s="43">
        <v>0</v>
      </c>
      <c r="H326" s="43">
        <v>116.65124953659999</v>
      </c>
      <c r="I326" s="84" t="s">
        <v>96</v>
      </c>
    </row>
    <row r="327" spans="1:13" ht="15.75" customHeight="1">
      <c r="A327" s="21">
        <v>43060</v>
      </c>
      <c r="B327" s="43">
        <v>26.709865548100002</v>
      </c>
      <c r="C327" s="43">
        <v>38.702050079899998</v>
      </c>
      <c r="D327" s="43">
        <v>20563.200000237997</v>
      </c>
      <c r="E327" s="43">
        <v>0</v>
      </c>
      <c r="F327" s="43">
        <v>0</v>
      </c>
      <c r="G327" s="43">
        <v>0</v>
      </c>
      <c r="H327" s="43">
        <v>116.65124953659999</v>
      </c>
      <c r="I327" s="84" t="s">
        <v>96</v>
      </c>
    </row>
    <row r="328" spans="1:13" ht="15.75" customHeight="1">
      <c r="A328" s="21">
        <v>43061</v>
      </c>
      <c r="B328" s="43">
        <v>26.164766251199996</v>
      </c>
      <c r="C328" s="43">
        <v>41.427546564399996</v>
      </c>
      <c r="D328" s="43">
        <v>20822.400000240999</v>
      </c>
      <c r="E328" s="43">
        <v>0</v>
      </c>
      <c r="F328" s="43">
        <v>0</v>
      </c>
      <c r="G328" s="43">
        <v>0</v>
      </c>
      <c r="H328" s="43">
        <v>117.1963488335</v>
      </c>
      <c r="I328" s="84" t="s">
        <v>96</v>
      </c>
    </row>
    <row r="329" spans="1:13" ht="15.75" customHeight="1">
      <c r="A329" s="21">
        <v>43062</v>
      </c>
      <c r="B329" s="43">
        <v>28.3451634388</v>
      </c>
      <c r="C329" s="43">
        <v>95.392376957499991</v>
      </c>
      <c r="D329" s="43">
        <v>57801.600000669001</v>
      </c>
      <c r="E329" s="43">
        <v>0</v>
      </c>
      <c r="F329" s="43">
        <v>0</v>
      </c>
      <c r="G329" s="43">
        <v>0</v>
      </c>
      <c r="H329" s="43">
        <v>197.87104477469998</v>
      </c>
      <c r="I329" s="84" t="s">
        <v>96</v>
      </c>
    </row>
    <row r="330" spans="1:13" ht="15.75" customHeight="1">
      <c r="A330" s="21">
        <v>43063</v>
      </c>
      <c r="B330" s="43">
        <v>27.254964844999996</v>
      </c>
      <c r="C330" s="43">
        <v>61.051121252799994</v>
      </c>
      <c r="D330" s="43">
        <v>63676.800000736992</v>
      </c>
      <c r="E330" s="43">
        <v>0</v>
      </c>
      <c r="F330" s="43">
        <v>0</v>
      </c>
      <c r="G330" s="43">
        <v>0</v>
      </c>
      <c r="H330" s="43">
        <v>136.274824225</v>
      </c>
      <c r="I330" s="84" t="s">
        <v>96</v>
      </c>
    </row>
    <row r="331" spans="1:13" ht="15.75" customHeight="1">
      <c r="A331" s="21">
        <v>43064</v>
      </c>
      <c r="B331" s="43">
        <v>26.164766251199996</v>
      </c>
      <c r="C331" s="43">
        <v>50.149135314799992</v>
      </c>
      <c r="D331" s="43">
        <v>73353.600000848994</v>
      </c>
      <c r="E331" s="43">
        <v>0</v>
      </c>
      <c r="F331" s="43">
        <v>0</v>
      </c>
      <c r="G331" s="43">
        <v>0</v>
      </c>
      <c r="H331" s="43">
        <v>122.10224250559999</v>
      </c>
      <c r="I331" s="84" t="s">
        <v>96</v>
      </c>
    </row>
    <row r="332" spans="1:13" ht="15.75" customHeight="1">
      <c r="A332" s="21">
        <v>43065</v>
      </c>
      <c r="B332" s="43">
        <v>28.890262735699999</v>
      </c>
      <c r="C332" s="43">
        <v>57.780525471399997</v>
      </c>
      <c r="D332" s="43">
        <v>59356.800000686999</v>
      </c>
      <c r="E332" s="43">
        <v>0</v>
      </c>
      <c r="F332" s="43">
        <v>0</v>
      </c>
      <c r="G332" s="43">
        <v>0</v>
      </c>
      <c r="H332" s="43">
        <v>121.01204391179999</v>
      </c>
      <c r="I332" s="84" t="s">
        <v>96</v>
      </c>
    </row>
    <row r="333" spans="1:13" ht="15.75" customHeight="1">
      <c r="A333" s="21">
        <v>43066</v>
      </c>
      <c r="B333" s="43">
        <v>28.629069322392002</v>
      </c>
      <c r="C333" s="43">
        <v>57.333846880464002</v>
      </c>
      <c r="D333" s="43">
        <v>50457.600000583996</v>
      </c>
      <c r="E333" s="43">
        <v>0</v>
      </c>
      <c r="F333" s="43">
        <v>0</v>
      </c>
      <c r="G333" s="43">
        <v>0</v>
      </c>
      <c r="H333" s="43">
        <v>120.33445520157601</v>
      </c>
      <c r="I333" s="84" t="s">
        <v>96</v>
      </c>
      <c r="K333" s="19">
        <v>7563</v>
      </c>
      <c r="L333" s="115">
        <v>15146</v>
      </c>
      <c r="M333" s="19">
        <v>31789</v>
      </c>
    </row>
    <row r="334" spans="1:13" ht="15.75" customHeight="1">
      <c r="A334" s="21">
        <v>43067</v>
      </c>
      <c r="B334" s="43">
        <v>29.435362032600001</v>
      </c>
      <c r="C334" s="43">
        <v>50.149135314799992</v>
      </c>
      <c r="D334" s="43">
        <v>47260.800000547002</v>
      </c>
      <c r="E334" s="43">
        <v>0</v>
      </c>
      <c r="F334" s="43">
        <v>0</v>
      </c>
      <c r="G334" s="43">
        <v>0</v>
      </c>
      <c r="H334" s="43">
        <v>117.1963488335</v>
      </c>
      <c r="I334" s="84" t="s">
        <v>96</v>
      </c>
      <c r="K334" s="19">
        <f>K333*0.003785411784</f>
        <v>28.629069322392002</v>
      </c>
      <c r="L334" s="19">
        <f t="shared" ref="L334:M334" si="7">L333*0.003785411784</f>
        <v>57.333846880464002</v>
      </c>
      <c r="M334" s="19">
        <f t="shared" si="7"/>
        <v>120.33445520157601</v>
      </c>
    </row>
    <row r="335" spans="1:13" ht="15.75" customHeight="1">
      <c r="A335" s="21">
        <v>43068</v>
      </c>
      <c r="B335" s="43">
        <v>29.435362032600001</v>
      </c>
      <c r="C335" s="43">
        <v>50.149135314799992</v>
      </c>
      <c r="D335" s="43">
        <v>42940.800000496994</v>
      </c>
      <c r="E335" s="43">
        <v>0</v>
      </c>
      <c r="F335" s="43">
        <v>0</v>
      </c>
      <c r="G335" s="43">
        <v>0</v>
      </c>
      <c r="H335" s="43">
        <v>117.1963488335</v>
      </c>
      <c r="I335" s="84" t="s">
        <v>96</v>
      </c>
    </row>
    <row r="336" spans="1:13" ht="15.75" customHeight="1">
      <c r="A336" s="21">
        <v>43069</v>
      </c>
      <c r="B336" s="43" t="s">
        <v>127</v>
      </c>
      <c r="C336" s="43" t="s">
        <v>127</v>
      </c>
      <c r="D336" s="43">
        <v>35769.600000413993</v>
      </c>
      <c r="E336" s="43">
        <v>0</v>
      </c>
      <c r="F336" s="43">
        <v>0</v>
      </c>
      <c r="G336" s="43">
        <v>0</v>
      </c>
      <c r="H336" s="43" t="s">
        <v>127</v>
      </c>
      <c r="I336" s="84" t="s">
        <v>96</v>
      </c>
    </row>
    <row r="337" spans="1:9" ht="15.75" customHeight="1">
      <c r="A337" s="21">
        <v>43070</v>
      </c>
      <c r="B337" s="43">
        <v>30.525560626399997</v>
      </c>
      <c r="C337" s="43">
        <v>49.604036017899993</v>
      </c>
      <c r="D337" s="43">
        <v>34992.000000405002</v>
      </c>
      <c r="E337" s="43">
        <v>0</v>
      </c>
      <c r="F337" s="43">
        <v>0</v>
      </c>
      <c r="G337" s="43">
        <v>0</v>
      </c>
      <c r="H337" s="43">
        <v>112.2904551614</v>
      </c>
      <c r="I337" s="84" t="s">
        <v>96</v>
      </c>
    </row>
    <row r="338" spans="1:9" ht="15.75" customHeight="1">
      <c r="A338" s="21">
        <v>43071</v>
      </c>
      <c r="B338" s="43">
        <v>31.615759220199998</v>
      </c>
      <c r="C338" s="43">
        <v>47.968738127199998</v>
      </c>
      <c r="D338" s="43">
        <v>32832.000000379994</v>
      </c>
      <c r="E338" s="43">
        <v>0</v>
      </c>
      <c r="F338" s="43">
        <v>0</v>
      </c>
      <c r="G338" s="43">
        <v>0</v>
      </c>
      <c r="H338" s="43">
        <v>113.92575305209998</v>
      </c>
      <c r="I338" s="84" t="s">
        <v>96</v>
      </c>
    </row>
    <row r="339" spans="1:9" ht="15.75" customHeight="1">
      <c r="A339" s="21">
        <v>43072</v>
      </c>
      <c r="B339" s="43">
        <v>31.615759220199998</v>
      </c>
      <c r="C339" s="43">
        <v>49.604036017899993</v>
      </c>
      <c r="D339" s="43">
        <v>33868.800000391995</v>
      </c>
      <c r="E339" s="43">
        <v>0</v>
      </c>
      <c r="F339" s="43">
        <v>0</v>
      </c>
      <c r="G339" s="43">
        <v>0</v>
      </c>
      <c r="H339" s="43">
        <v>109.01985937999999</v>
      </c>
      <c r="I339" s="84" t="s">
        <v>96</v>
      </c>
    </row>
    <row r="340" spans="1:9" ht="15.75" customHeight="1">
      <c r="A340" s="21">
        <v>43073</v>
      </c>
      <c r="B340" s="43">
        <v>32.160858517100003</v>
      </c>
      <c r="C340" s="43">
        <v>47.968738127199998</v>
      </c>
      <c r="D340" s="43">
        <v>19526.400000226</v>
      </c>
      <c r="E340" s="43">
        <v>0</v>
      </c>
      <c r="F340" s="43">
        <v>0</v>
      </c>
      <c r="G340" s="43">
        <v>0</v>
      </c>
      <c r="H340" s="43">
        <v>109.56495867690001</v>
      </c>
      <c r="I340" s="84" t="s">
        <v>96</v>
      </c>
    </row>
    <row r="341" spans="1:9" ht="15.75" customHeight="1">
      <c r="A341" s="21">
        <v>43074</v>
      </c>
      <c r="B341" s="43">
        <v>31.615759220199998</v>
      </c>
      <c r="C341" s="43">
        <v>47.968738127199998</v>
      </c>
      <c r="D341" s="43">
        <v>43372.800000501993</v>
      </c>
      <c r="E341" s="43">
        <v>0</v>
      </c>
      <c r="F341" s="43">
        <v>0</v>
      </c>
      <c r="G341" s="43">
        <v>0</v>
      </c>
      <c r="H341" s="43">
        <v>111.20025656759998</v>
      </c>
      <c r="I341" s="84" t="s">
        <v>96</v>
      </c>
    </row>
    <row r="342" spans="1:9" ht="15.75" customHeight="1">
      <c r="A342" s="21">
        <v>43075</v>
      </c>
      <c r="B342" s="43">
        <v>30.525560626399997</v>
      </c>
      <c r="C342" s="43">
        <v>47.968738127199998</v>
      </c>
      <c r="D342" s="43">
        <v>37238.400000431</v>
      </c>
      <c r="E342" s="43">
        <v>0</v>
      </c>
      <c r="F342" s="43">
        <v>0</v>
      </c>
      <c r="G342" s="43">
        <v>0</v>
      </c>
      <c r="H342" s="43">
        <v>110.11005797379998</v>
      </c>
      <c r="I342" s="84" t="s">
        <v>96</v>
      </c>
    </row>
    <row r="343" spans="1:9" ht="15.75" customHeight="1">
      <c r="A343" s="21">
        <v>43076</v>
      </c>
      <c r="B343" s="43">
        <v>30.525560626399997</v>
      </c>
      <c r="C343" s="43">
        <v>45.788340939599998</v>
      </c>
      <c r="D343" s="43">
        <v>23587.200000272998</v>
      </c>
      <c r="E343" s="43">
        <v>0</v>
      </c>
      <c r="F343" s="43">
        <v>0</v>
      </c>
      <c r="G343" s="43">
        <v>0</v>
      </c>
      <c r="H343" s="43">
        <v>109.56495867690001</v>
      </c>
      <c r="I343" s="84" t="s">
        <v>96</v>
      </c>
    </row>
    <row r="344" spans="1:9" ht="15.75" customHeight="1">
      <c r="A344" s="21">
        <v>43077</v>
      </c>
      <c r="B344" s="43">
        <v>30.525560626399997</v>
      </c>
      <c r="C344" s="43">
        <v>45.243241642699999</v>
      </c>
      <c r="D344" s="43">
        <v>22464.000000259999</v>
      </c>
      <c r="E344" s="43">
        <v>0</v>
      </c>
      <c r="F344" s="43">
        <v>0</v>
      </c>
      <c r="G344" s="43">
        <v>0</v>
      </c>
      <c r="H344" s="43">
        <v>110.6551572707</v>
      </c>
      <c r="I344" s="84" t="s">
        <v>96</v>
      </c>
    </row>
    <row r="345" spans="1:9" ht="15.75" customHeight="1">
      <c r="A345" s="21">
        <v>43078</v>
      </c>
      <c r="B345" s="43">
        <v>29.435362032600001</v>
      </c>
      <c r="C345" s="43">
        <v>45.788340939599998</v>
      </c>
      <c r="D345" s="43">
        <v>31104.000000359996</v>
      </c>
      <c r="E345" s="43">
        <v>0</v>
      </c>
      <c r="F345" s="43">
        <v>0</v>
      </c>
      <c r="G345" s="43">
        <v>0</v>
      </c>
      <c r="H345" s="43">
        <v>112.2904551614</v>
      </c>
      <c r="I345" s="84" t="s">
        <v>96</v>
      </c>
    </row>
    <row r="346" spans="1:9" ht="15.75" customHeight="1">
      <c r="A346" s="21">
        <v>43079</v>
      </c>
      <c r="B346" s="43">
        <v>29.435362032600001</v>
      </c>
      <c r="C346" s="43">
        <v>43.607943751999997</v>
      </c>
      <c r="D346" s="43">
        <v>36892.800000427</v>
      </c>
      <c r="E346" s="43">
        <v>0</v>
      </c>
      <c r="F346" s="43">
        <v>0</v>
      </c>
      <c r="G346" s="43">
        <v>0</v>
      </c>
      <c r="H346" s="43">
        <v>107.9296607862</v>
      </c>
      <c r="I346" s="84" t="s">
        <v>96</v>
      </c>
    </row>
    <row r="347" spans="1:9" ht="15.75" customHeight="1">
      <c r="A347" s="21">
        <v>43080</v>
      </c>
      <c r="B347" s="43">
        <v>29.980461329499999</v>
      </c>
      <c r="C347" s="43">
        <v>45.243241642699999</v>
      </c>
      <c r="D347" s="43">
        <v>30758.400000355996</v>
      </c>
      <c r="E347" s="43">
        <v>0</v>
      </c>
      <c r="F347" s="43">
        <v>0</v>
      </c>
      <c r="G347" s="43">
        <v>0</v>
      </c>
      <c r="H347" s="43">
        <v>86.125688910199997</v>
      </c>
      <c r="I347" s="84" t="s">
        <v>96</v>
      </c>
    </row>
    <row r="348" spans="1:9" ht="15.75" customHeight="1">
      <c r="A348" s="21">
        <v>43081</v>
      </c>
      <c r="B348" s="43">
        <v>29.435362032600001</v>
      </c>
      <c r="C348" s="43">
        <v>43.607943751999997</v>
      </c>
      <c r="D348" s="43">
        <v>49075.200000567995</v>
      </c>
      <c r="E348" s="43">
        <v>0</v>
      </c>
      <c r="F348" s="43">
        <v>0</v>
      </c>
      <c r="G348" s="43">
        <v>0</v>
      </c>
      <c r="H348" s="43">
        <v>109.01985937999999</v>
      </c>
      <c r="I348" s="84" t="s">
        <v>96</v>
      </c>
    </row>
    <row r="349" spans="1:9" ht="15.75" customHeight="1">
      <c r="A349" s="21">
        <v>43082</v>
      </c>
      <c r="B349" s="43">
        <v>0</v>
      </c>
      <c r="C349" s="43">
        <v>0</v>
      </c>
      <c r="D349" s="43">
        <v>48643.200000562989</v>
      </c>
      <c r="E349" s="43">
        <v>0</v>
      </c>
      <c r="F349" s="43">
        <v>0</v>
      </c>
      <c r="G349" s="43">
        <v>0</v>
      </c>
      <c r="H349" s="43">
        <v>0</v>
      </c>
      <c r="I349" s="84" t="s">
        <v>96</v>
      </c>
    </row>
    <row r="350" spans="1:9" ht="15.75" customHeight="1">
      <c r="A350" s="21">
        <v>43083</v>
      </c>
      <c r="B350" s="43">
        <v>29.435362032600001</v>
      </c>
      <c r="C350" s="43">
        <v>43.062844455099999</v>
      </c>
      <c r="D350" s="43">
        <v>34992.000000405002</v>
      </c>
      <c r="E350" s="43">
        <v>0</v>
      </c>
      <c r="F350" s="43">
        <v>0</v>
      </c>
      <c r="G350" s="43">
        <v>0</v>
      </c>
      <c r="H350" s="43">
        <v>109.01985937999999</v>
      </c>
      <c r="I350" s="84" t="s">
        <v>96</v>
      </c>
    </row>
    <row r="351" spans="1:9" ht="15.75" customHeight="1">
      <c r="A351" s="21">
        <v>43084</v>
      </c>
      <c r="B351" s="43">
        <v>30.525560626399997</v>
      </c>
      <c r="C351" s="43">
        <v>45.243241642699999</v>
      </c>
      <c r="D351" s="43">
        <v>26870.400000310998</v>
      </c>
      <c r="E351" s="43">
        <v>0</v>
      </c>
      <c r="F351" s="43">
        <v>0</v>
      </c>
      <c r="G351" s="43">
        <v>0</v>
      </c>
      <c r="H351" s="43">
        <v>107.9296607862</v>
      </c>
      <c r="I351" s="84" t="s">
        <v>96</v>
      </c>
    </row>
    <row r="352" spans="1:9" ht="15.75" customHeight="1">
      <c r="A352" s="21">
        <v>43085</v>
      </c>
      <c r="B352" s="43">
        <v>29.435362032600001</v>
      </c>
      <c r="C352" s="43">
        <v>41.427546564399996</v>
      </c>
      <c r="D352" s="43">
        <v>27129.600000313996</v>
      </c>
      <c r="E352" s="43">
        <v>0</v>
      </c>
      <c r="F352" s="43">
        <v>0</v>
      </c>
      <c r="G352" s="43">
        <v>0</v>
      </c>
      <c r="H352" s="43">
        <v>100.29827062959998</v>
      </c>
      <c r="I352" s="84" t="s">
        <v>96</v>
      </c>
    </row>
    <row r="353" spans="1:13" ht="15.75" customHeight="1">
      <c r="A353" s="21">
        <v>43086</v>
      </c>
      <c r="B353" s="43">
        <v>28.3451634388</v>
      </c>
      <c r="C353" s="43">
        <v>41.427546564399996</v>
      </c>
      <c r="D353" s="43">
        <v>26870.400000310998</v>
      </c>
      <c r="E353" s="43">
        <v>0</v>
      </c>
      <c r="F353" s="43">
        <v>0</v>
      </c>
      <c r="G353" s="43">
        <v>0</v>
      </c>
      <c r="H353" s="43">
        <v>104.11396570790001</v>
      </c>
      <c r="I353" s="84" t="s">
        <v>96</v>
      </c>
    </row>
    <row r="354" spans="1:13" ht="15.75" customHeight="1">
      <c r="A354" s="21">
        <v>43087</v>
      </c>
      <c r="B354" s="43">
        <v>28.3451634388</v>
      </c>
      <c r="C354" s="43">
        <v>47.968738127199998</v>
      </c>
      <c r="D354" s="43">
        <v>28425.600000328999</v>
      </c>
      <c r="E354" s="43">
        <v>0</v>
      </c>
      <c r="F354" s="43">
        <v>0</v>
      </c>
      <c r="G354" s="43">
        <v>0</v>
      </c>
      <c r="H354" s="43">
        <v>100.29827062959998</v>
      </c>
      <c r="I354" s="84" t="s">
        <v>96</v>
      </c>
    </row>
    <row r="355" spans="1:13" ht="15.75" customHeight="1">
      <c r="A355" s="21">
        <v>43088</v>
      </c>
      <c r="B355" s="43">
        <v>19.623574688399998</v>
      </c>
      <c r="C355" s="43">
        <v>32.160858517100003</v>
      </c>
      <c r="D355" s="43">
        <v>28771.200000332999</v>
      </c>
      <c r="E355" s="43">
        <v>0</v>
      </c>
      <c r="F355" s="43">
        <v>0</v>
      </c>
      <c r="G355" s="43">
        <v>0</v>
      </c>
      <c r="H355" s="43">
        <v>61.051121252799994</v>
      </c>
      <c r="I355" s="84" t="s">
        <v>96</v>
      </c>
    </row>
    <row r="356" spans="1:13" ht="15.75" customHeight="1">
      <c r="A356" s="21">
        <v>43089</v>
      </c>
      <c r="B356" s="43">
        <v>33.251057110899993</v>
      </c>
      <c r="C356" s="43">
        <v>47.423638830299993</v>
      </c>
      <c r="D356" s="43">
        <v>31449.600000363997</v>
      </c>
      <c r="E356" s="43">
        <v>0</v>
      </c>
      <c r="F356" s="43">
        <v>0</v>
      </c>
      <c r="G356" s="43">
        <v>0</v>
      </c>
      <c r="H356" s="43">
        <v>91.576681879199995</v>
      </c>
      <c r="I356" s="84" t="s">
        <v>96</v>
      </c>
    </row>
    <row r="357" spans="1:13" ht="15.75" customHeight="1">
      <c r="A357" s="21">
        <v>43090</v>
      </c>
      <c r="B357" s="43">
        <v>31.615759220199998</v>
      </c>
      <c r="C357" s="43">
        <v>45.243241642699999</v>
      </c>
      <c r="D357" s="43">
        <v>235008.00000271999</v>
      </c>
      <c r="E357" s="43">
        <v>0</v>
      </c>
      <c r="F357" s="43">
        <v>0</v>
      </c>
      <c r="G357" s="43">
        <v>0</v>
      </c>
      <c r="H357" s="43">
        <v>97.572774145099984</v>
      </c>
      <c r="I357" s="84" t="s">
        <v>96</v>
      </c>
    </row>
    <row r="358" spans="1:13" ht="15.75" customHeight="1">
      <c r="A358" s="21">
        <v>43091</v>
      </c>
      <c r="B358" s="43">
        <v>31.070659923299999</v>
      </c>
      <c r="C358" s="43">
        <v>46.878539533399994</v>
      </c>
      <c r="D358" s="43">
        <v>261792.00000302997</v>
      </c>
      <c r="E358" s="43">
        <v>0</v>
      </c>
      <c r="F358" s="43">
        <v>0</v>
      </c>
      <c r="G358" s="43">
        <v>0</v>
      </c>
      <c r="H358" s="43">
        <v>97.572774145099984</v>
      </c>
      <c r="I358" s="84" t="s">
        <v>96</v>
      </c>
    </row>
    <row r="359" spans="1:13" ht="15.75" customHeight="1">
      <c r="A359" s="21">
        <v>43092</v>
      </c>
      <c r="B359" s="43">
        <v>30.525560626399997</v>
      </c>
      <c r="C359" s="43">
        <v>43.062844455099999</v>
      </c>
      <c r="D359" s="43">
        <v>230688.00000266999</v>
      </c>
      <c r="E359" s="43">
        <v>0</v>
      </c>
      <c r="F359" s="43">
        <v>0</v>
      </c>
      <c r="G359" s="43">
        <v>0</v>
      </c>
      <c r="H359" s="43">
        <v>104.65906500479998</v>
      </c>
      <c r="I359" s="84" t="s">
        <v>96</v>
      </c>
    </row>
    <row r="360" spans="1:13" ht="15.75" customHeight="1">
      <c r="A360" s="21">
        <v>43093</v>
      </c>
      <c r="B360" s="43">
        <v>29.518641091632002</v>
      </c>
      <c r="C360" s="43">
        <v>45.587714114712</v>
      </c>
      <c r="D360" s="43">
        <v>400032.00000462995</v>
      </c>
      <c r="E360" s="43">
        <v>0</v>
      </c>
      <c r="F360" s="43">
        <v>0</v>
      </c>
      <c r="G360" s="43">
        <v>0</v>
      </c>
      <c r="H360" s="43">
        <v>101.82379157781601</v>
      </c>
      <c r="I360" s="84" t="s">
        <v>96</v>
      </c>
      <c r="K360" s="116">
        <v>7798</v>
      </c>
      <c r="L360" s="116">
        <v>12043</v>
      </c>
      <c r="M360" s="116">
        <v>26899</v>
      </c>
    </row>
    <row r="361" spans="1:13" ht="15.75" customHeight="1">
      <c r="A361" s="21">
        <v>43094</v>
      </c>
      <c r="B361" s="43">
        <v>28.890262735699999</v>
      </c>
      <c r="C361" s="43">
        <v>42.517745158199993</v>
      </c>
      <c r="D361" s="43">
        <v>441504.00000510999</v>
      </c>
      <c r="E361" s="43">
        <v>0</v>
      </c>
      <c r="F361" s="43">
        <v>0</v>
      </c>
      <c r="G361" s="43">
        <v>0</v>
      </c>
      <c r="H361" s="43">
        <v>104.11396570790001</v>
      </c>
      <c r="I361" s="84" t="s">
        <v>96</v>
      </c>
      <c r="K361" s="19">
        <f>K360*0.003785411784</f>
        <v>29.518641091632002</v>
      </c>
      <c r="L361" s="19">
        <f t="shared" ref="L361:M361" si="8">L360*0.003785411784</f>
        <v>45.587714114712</v>
      </c>
      <c r="M361" s="19">
        <f t="shared" si="8"/>
        <v>101.82379157781601</v>
      </c>
    </row>
    <row r="362" spans="1:13" ht="15.75" customHeight="1">
      <c r="A362" s="21">
        <v>43095</v>
      </c>
      <c r="B362" s="43">
        <v>28.890262735699999</v>
      </c>
      <c r="C362" s="43">
        <v>43.062844455099999</v>
      </c>
      <c r="D362" s="43">
        <v>316224.00000365998</v>
      </c>
      <c r="E362" s="43">
        <v>0</v>
      </c>
      <c r="F362" s="43">
        <v>0</v>
      </c>
      <c r="G362" s="43">
        <v>0</v>
      </c>
      <c r="H362" s="43">
        <v>103.02376711409998</v>
      </c>
      <c r="I362" s="84" t="s">
        <v>96</v>
      </c>
    </row>
    <row r="363" spans="1:13" ht="15.75" customHeight="1">
      <c r="A363" s="21">
        <v>43096</v>
      </c>
      <c r="B363" s="43">
        <v>29.435362032600001</v>
      </c>
      <c r="C363" s="43">
        <v>43.062844455099999</v>
      </c>
      <c r="D363" s="43">
        <v>236736.00000274001</v>
      </c>
      <c r="E363" s="43">
        <v>0</v>
      </c>
      <c r="F363" s="43">
        <v>0</v>
      </c>
      <c r="G363" s="43">
        <v>0</v>
      </c>
      <c r="H363" s="43">
        <v>104.11396570790001</v>
      </c>
      <c r="I363" s="84" t="s">
        <v>96</v>
      </c>
    </row>
    <row r="364" spans="1:13">
      <c r="A364" s="21">
        <v>43097</v>
      </c>
      <c r="B364" s="43">
        <v>28.890262735699999</v>
      </c>
      <c r="C364" s="43">
        <v>43.062844455099999</v>
      </c>
      <c r="D364" s="43">
        <v>114048.00000131999</v>
      </c>
      <c r="E364" s="43">
        <v>0</v>
      </c>
      <c r="F364" s="43">
        <v>0</v>
      </c>
      <c r="G364" s="43">
        <v>0</v>
      </c>
      <c r="H364" s="43">
        <v>89.396284691599988</v>
      </c>
      <c r="I364" s="84" t="s">
        <v>96</v>
      </c>
    </row>
    <row r="365" spans="1:13">
      <c r="A365" s="21">
        <v>43098</v>
      </c>
      <c r="B365" s="43">
        <v>29.435362032600001</v>
      </c>
      <c r="C365" s="43">
        <v>42.517745158199993</v>
      </c>
      <c r="D365" s="43">
        <v>50976.000000589993</v>
      </c>
      <c r="E365" s="43">
        <v>0</v>
      </c>
      <c r="F365" s="43">
        <v>0</v>
      </c>
      <c r="G365" s="43">
        <v>0</v>
      </c>
      <c r="H365" s="43">
        <v>9.811787344199999</v>
      </c>
      <c r="I365" s="84" t="s">
        <v>96</v>
      </c>
    </row>
    <row r="366" spans="1:13">
      <c r="A366" s="21">
        <v>43099</v>
      </c>
      <c r="B366" s="43">
        <v>29.435362032600001</v>
      </c>
      <c r="C366" s="43">
        <v>45.243241642699999</v>
      </c>
      <c r="D366" s="43">
        <v>31449.600000363997</v>
      </c>
      <c r="E366" s="43">
        <v>0</v>
      </c>
      <c r="F366" s="43">
        <v>0</v>
      </c>
      <c r="G366" s="43">
        <v>0</v>
      </c>
      <c r="H366" s="43">
        <v>29.435362032600001</v>
      </c>
      <c r="I366" s="84" t="s">
        <v>96</v>
      </c>
    </row>
    <row r="367" spans="1:13">
      <c r="A367" s="21">
        <v>43100</v>
      </c>
      <c r="B367" s="43">
        <v>28.890262735699999</v>
      </c>
      <c r="C367" s="43">
        <v>42.517745158199993</v>
      </c>
      <c r="D367" s="43">
        <v>26524.800000306997</v>
      </c>
      <c r="E367" s="43">
        <v>0</v>
      </c>
      <c r="F367" s="43">
        <v>0</v>
      </c>
      <c r="G367" s="43">
        <v>0</v>
      </c>
      <c r="H367" s="43">
        <v>87.215887503999994</v>
      </c>
      <c r="I367" s="84" t="s">
        <v>96</v>
      </c>
    </row>
    <row r="368" spans="1:13">
      <c r="A368" s="15" t="s">
        <v>106</v>
      </c>
      <c r="B368" s="16">
        <f>SUM(B3:B367)</f>
        <v>11485.208116976341</v>
      </c>
      <c r="C368" s="16">
        <f t="shared" ref="C368:H368" si="9">SUM(C3:C367)</f>
        <v>30788.78302021309</v>
      </c>
      <c r="D368" s="16">
        <f t="shared" si="9"/>
        <v>72307987.198461905</v>
      </c>
      <c r="E368" s="16">
        <f t="shared" si="9"/>
        <v>101657.320523791</v>
      </c>
      <c r="F368" s="16">
        <f t="shared" si="9"/>
        <v>106613.5526017587</v>
      </c>
      <c r="G368" s="16">
        <f t="shared" si="9"/>
        <v>3496.9823664147752</v>
      </c>
      <c r="H368" s="16">
        <f t="shared" si="9"/>
        <v>45299.148376192868</v>
      </c>
      <c r="I368" s="85" t="s">
        <v>96</v>
      </c>
    </row>
    <row r="369" spans="1:9">
      <c r="A369" s="15" t="s">
        <v>100</v>
      </c>
      <c r="B369" s="16">
        <f>MIN(B3:B367)</f>
        <v>0</v>
      </c>
      <c r="C369" s="16">
        <f t="shared" ref="C369:H369" si="10">MIN(C3:C367)</f>
        <v>0</v>
      </c>
      <c r="D369" s="16">
        <f t="shared" si="10"/>
        <v>10195.200000117999</v>
      </c>
      <c r="E369" s="16">
        <f t="shared" si="10"/>
        <v>0</v>
      </c>
      <c r="F369" s="16">
        <f t="shared" si="10"/>
        <v>0</v>
      </c>
      <c r="G369" s="16">
        <f t="shared" si="10"/>
        <v>0</v>
      </c>
      <c r="H369" s="16">
        <f t="shared" si="10"/>
        <v>0</v>
      </c>
      <c r="I369" s="16">
        <f t="shared" ref="I369" si="11">MIN(I3:I367)</f>
        <v>42.199712140854679</v>
      </c>
    </row>
    <row r="370" spans="1:9" ht="12.75" customHeight="1">
      <c r="A370" s="15" t="s">
        <v>101</v>
      </c>
      <c r="B370" s="16">
        <f>MAX(B3:B367)</f>
        <v>83.94529172259999</v>
      </c>
      <c r="C370" s="16">
        <f t="shared" ref="C370:H370" si="12">MAX(C3:C367)</f>
        <v>315.06739360819995</v>
      </c>
      <c r="D370" s="16">
        <f t="shared" si="12"/>
        <v>3101759.9999270863</v>
      </c>
      <c r="E370" s="16">
        <f t="shared" si="12"/>
        <v>979.74406334666401</v>
      </c>
      <c r="F370" s="16">
        <f t="shared" si="12"/>
        <v>963.87183173635208</v>
      </c>
      <c r="G370" s="16">
        <f t="shared" si="12"/>
        <v>390.317594460024</v>
      </c>
      <c r="H370" s="16">
        <f t="shared" si="12"/>
        <v>221.3103145414</v>
      </c>
      <c r="I370" s="16">
        <f t="shared" ref="I370" si="13">MAX(I3:I367)</f>
        <v>4146.4445338614878</v>
      </c>
    </row>
    <row r="371" spans="1:9" ht="12.75" customHeight="1">
      <c r="A371" s="15" t="s">
        <v>102</v>
      </c>
      <c r="B371" s="16">
        <f>AVERAGE(B3:B367)</f>
        <v>31.63969178230397</v>
      </c>
      <c r="C371" s="16">
        <f t="shared" ref="C371:H371" si="14">AVERAGE(C3:C367)</f>
        <v>84.817584077722017</v>
      </c>
      <c r="D371" s="16">
        <f t="shared" si="14"/>
        <v>198104.07451633399</v>
      </c>
      <c r="E371" s="16">
        <f t="shared" si="14"/>
        <v>278.51320691449587</v>
      </c>
      <c r="F371" s="16">
        <f t="shared" si="14"/>
        <v>292.0919249363252</v>
      </c>
      <c r="G371" s="16">
        <f t="shared" si="14"/>
        <v>9.5807736066158231</v>
      </c>
      <c r="H371" s="16">
        <f t="shared" si="14"/>
        <v>125.13576899500792</v>
      </c>
      <c r="I371" s="16">
        <f t="shared" ref="I371" si="15">AVERAGE(I3:I367)</f>
        <v>390.87372437302895</v>
      </c>
    </row>
    <row r="372" spans="1:9" ht="12.75" customHeight="1">
      <c r="A372" s="15" t="s">
        <v>103</v>
      </c>
      <c r="B372" s="16">
        <f>_xlfn.STDEV.P(B3:B367)</f>
        <v>9.2104013904885882</v>
      </c>
      <c r="C372" s="16">
        <f t="shared" ref="C372:H372" si="16">_xlfn.STDEV.P(C3:C367)</f>
        <v>67.673392349466184</v>
      </c>
      <c r="D372" s="16">
        <f t="shared" si="16"/>
        <v>461758.16056245856</v>
      </c>
      <c r="E372" s="16">
        <f t="shared" si="16"/>
        <v>346.33205398615934</v>
      </c>
      <c r="F372" s="16">
        <f t="shared" si="16"/>
        <v>367.40042633383166</v>
      </c>
      <c r="G372" s="16">
        <f t="shared" si="16"/>
        <v>32.435337502142339</v>
      </c>
      <c r="H372" s="16">
        <f t="shared" si="16"/>
        <v>25.689753176859977</v>
      </c>
      <c r="I372" s="16">
        <f t="shared" ref="I372" si="17">_xlfn.STDEV.P(I3:I367)</f>
        <v>661.64163570580706</v>
      </c>
    </row>
    <row r="373" spans="1:9" ht="12.75" customHeight="1">
      <c r="A373" s="146" t="s">
        <v>112</v>
      </c>
      <c r="B373" s="147"/>
      <c r="C373" s="147"/>
      <c r="D373" s="147"/>
      <c r="E373" s="147"/>
      <c r="F373" s="147"/>
      <c r="G373" s="147"/>
      <c r="H373" s="147"/>
      <c r="I373" s="147"/>
    </row>
    <row r="374" spans="1:9" ht="12.75" customHeight="1">
      <c r="A374" s="148" t="s">
        <v>125</v>
      </c>
      <c r="B374" s="149"/>
      <c r="C374" s="149"/>
      <c r="D374" s="149"/>
      <c r="E374" s="149"/>
      <c r="F374" s="149"/>
      <c r="G374" s="149"/>
      <c r="H374" s="149"/>
      <c r="I374" s="149"/>
    </row>
  </sheetData>
  <mergeCells count="3">
    <mergeCell ref="A2:I2"/>
    <mergeCell ref="A373:I373"/>
    <mergeCell ref="A374:I374"/>
  </mergeCells>
  <printOptions horizontalCentered="1"/>
  <pageMargins left="0.25" right="0.25" top="1.0833333333333299" bottom="0.75" header="0.3" footer="0.3"/>
  <pageSetup orientation="portrait" r:id="rId1"/>
  <headerFooter alignWithMargins="0">
    <oddHeader>&amp;LBarrick Gold Inc. - Nickel Plate Mine&amp;C&amp;"-,Regular"&amp;18
Table 46 - Daily Circuit Flows&amp;RAnnual Report, 2017</oddHead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F268"/>
  <sheetViews>
    <sheetView view="pageLayout" zoomScaleNormal="100" workbookViewId="0">
      <selection activeCell="B33" sqref="B33"/>
    </sheetView>
  </sheetViews>
  <sheetFormatPr defaultColWidth="9.1328125" defaultRowHeight="15.75"/>
  <cols>
    <col min="1" max="1" width="11" style="23" bestFit="1" customWidth="1"/>
    <col min="2" max="2" width="6.73046875" style="19" bestFit="1" customWidth="1"/>
    <col min="3" max="3" width="8" style="19" bestFit="1" customWidth="1"/>
    <col min="4" max="5" width="6.86328125" style="19" bestFit="1" customWidth="1"/>
    <col min="6" max="6" width="8" style="19" bestFit="1" customWidth="1"/>
    <col min="7" max="16384" width="9.1328125" style="19"/>
  </cols>
  <sheetData>
    <row r="1" spans="1:6" ht="63.4">
      <c r="A1" s="2" t="s">
        <v>46</v>
      </c>
      <c r="B1" s="5" t="s">
        <v>17</v>
      </c>
      <c r="C1" s="82" t="s">
        <v>18</v>
      </c>
      <c r="D1" s="5" t="s">
        <v>19</v>
      </c>
      <c r="E1" s="5" t="s">
        <v>20</v>
      </c>
      <c r="F1" s="7" t="s">
        <v>21</v>
      </c>
    </row>
    <row r="2" spans="1:6" ht="15.75" customHeight="1">
      <c r="A2" s="150" t="s">
        <v>47</v>
      </c>
      <c r="B2" s="151"/>
      <c r="C2" s="151"/>
      <c r="D2" s="151"/>
      <c r="E2" s="151"/>
      <c r="F2" s="151"/>
    </row>
    <row r="3" spans="1:6" ht="15.75" customHeight="1">
      <c r="A3" s="21">
        <v>42737.75</v>
      </c>
      <c r="B3" s="43">
        <v>1838.0748291467999</v>
      </c>
      <c r="C3" s="43">
        <v>980.08853582619997</v>
      </c>
      <c r="D3" s="43">
        <v>389.200897344</v>
      </c>
      <c r="E3" s="43">
        <v>130.27873195909999</v>
      </c>
      <c r="F3" s="100">
        <v>577.26015541710001</v>
      </c>
    </row>
    <row r="4" spans="1:6" ht="15.75" customHeight="1">
      <c r="A4" s="21">
        <v>42738.75</v>
      </c>
      <c r="B4" s="43">
        <v>1838.0748291467999</v>
      </c>
      <c r="C4" s="43">
        <v>1172.5085876318999</v>
      </c>
      <c r="D4" s="43">
        <v>389.200897344</v>
      </c>
      <c r="E4" s="43">
        <v>125.9179375839</v>
      </c>
      <c r="F4" s="100">
        <v>541.61066139983996</v>
      </c>
    </row>
    <row r="5" spans="1:6" ht="15.75" customHeight="1">
      <c r="A5" s="21">
        <v>42739.75</v>
      </c>
      <c r="B5" s="43">
        <v>1270.081361777</v>
      </c>
      <c r="C5" s="43" t="s">
        <v>34</v>
      </c>
      <c r="D5" s="43">
        <v>311.25169801599998</v>
      </c>
      <c r="E5" s="43">
        <v>158.62389539789999</v>
      </c>
      <c r="F5" s="100">
        <v>681.37412112499999</v>
      </c>
    </row>
    <row r="6" spans="1:6" ht="15.75" customHeight="1">
      <c r="A6" s="21">
        <v>42740</v>
      </c>
      <c r="B6" s="43">
        <v>1471.7681016299998</v>
      </c>
      <c r="C6" s="43" t="s">
        <v>34</v>
      </c>
      <c r="D6" s="43">
        <v>289.99282547199999</v>
      </c>
      <c r="E6" s="43">
        <v>158.62389539789999</v>
      </c>
      <c r="F6" s="43">
        <v>501.49135314799997</v>
      </c>
    </row>
    <row r="7" spans="1:6" ht="15.75" customHeight="1">
      <c r="A7" s="21">
        <v>42741</v>
      </c>
      <c r="B7" s="43">
        <v>1508.8348538191999</v>
      </c>
      <c r="C7" s="43" t="s">
        <v>34</v>
      </c>
      <c r="D7" s="43">
        <v>389.200897344</v>
      </c>
      <c r="E7" s="43">
        <v>158.62389539789999</v>
      </c>
      <c r="F7" s="43">
        <v>614.32690760629998</v>
      </c>
    </row>
    <row r="8" spans="1:6" ht="15.75" customHeight="1">
      <c r="A8" s="21">
        <v>42744</v>
      </c>
      <c r="B8" s="43">
        <v>1280.9833477149998</v>
      </c>
      <c r="C8" s="43" t="s">
        <v>34</v>
      </c>
      <c r="D8" s="43">
        <v>243.11428601599999</v>
      </c>
      <c r="E8" s="43">
        <v>158.62389539789999</v>
      </c>
      <c r="F8" s="43">
        <v>446.98142345799999</v>
      </c>
    </row>
    <row r="9" spans="1:6" ht="15.75" customHeight="1">
      <c r="A9" s="21">
        <v>42745</v>
      </c>
      <c r="B9" s="43">
        <v>1447.7837325664</v>
      </c>
      <c r="C9" s="43" t="s">
        <v>34</v>
      </c>
      <c r="D9" s="43">
        <v>364.67142902400002</v>
      </c>
      <c r="E9" s="43">
        <v>134.6395263343</v>
      </c>
      <c r="F9" s="100">
        <v>506.99685604668997</v>
      </c>
    </row>
    <row r="10" spans="1:6" ht="15.75" customHeight="1">
      <c r="A10" s="21">
        <v>42746</v>
      </c>
      <c r="B10" s="43">
        <v>1387.8228099073999</v>
      </c>
      <c r="C10" s="43" t="s">
        <v>34</v>
      </c>
      <c r="D10" s="43">
        <v>372.84791846400003</v>
      </c>
      <c r="E10" s="43">
        <v>134.6395263343</v>
      </c>
      <c r="F10" s="100">
        <v>473.63677907640999</v>
      </c>
    </row>
    <row r="11" spans="1:6" ht="15.75" customHeight="1">
      <c r="A11" s="21">
        <v>42747</v>
      </c>
      <c r="B11" s="43">
        <v>1035.68866411</v>
      </c>
      <c r="C11" s="43" t="s">
        <v>34</v>
      </c>
      <c r="D11" s="43">
        <v>348.86354943999999</v>
      </c>
      <c r="E11" s="43">
        <v>134.6395263343</v>
      </c>
      <c r="F11" s="43">
        <v>446.98142345799999</v>
      </c>
    </row>
    <row r="12" spans="1:6" ht="15.75" customHeight="1">
      <c r="A12" s="21">
        <v>42748</v>
      </c>
      <c r="B12" s="43">
        <v>1035.68866411</v>
      </c>
      <c r="C12" s="43" t="s">
        <v>34</v>
      </c>
      <c r="D12" s="43">
        <v>348.86354943999999</v>
      </c>
      <c r="E12" s="43">
        <v>134.6395263343</v>
      </c>
      <c r="F12" s="43">
        <v>446.98142345799999</v>
      </c>
    </row>
    <row r="13" spans="1:6" ht="15.75" customHeight="1">
      <c r="A13" s="21">
        <v>42751</v>
      </c>
      <c r="B13" s="43">
        <v>1635.2978906999999</v>
      </c>
      <c r="C13" s="43" t="s">
        <v>34</v>
      </c>
      <c r="D13" s="43">
        <v>245.29468319999998</v>
      </c>
      <c r="E13" s="43">
        <v>136.274824225</v>
      </c>
      <c r="F13" s="100">
        <v>354.314542985</v>
      </c>
    </row>
    <row r="14" spans="1:6" ht="15.75" customHeight="1">
      <c r="A14" s="21">
        <v>42752</v>
      </c>
      <c r="B14" s="43">
        <v>1270.081361777</v>
      </c>
      <c r="C14" s="43" t="s">
        <v>34</v>
      </c>
      <c r="D14" s="43">
        <v>278.00064096</v>
      </c>
      <c r="E14" s="43">
        <v>136.274824225</v>
      </c>
      <c r="F14" s="100">
        <v>354.314542985</v>
      </c>
    </row>
    <row r="15" spans="1:6" ht="15.75" customHeight="1">
      <c r="A15" s="21">
        <v>42753</v>
      </c>
      <c r="B15" s="43">
        <v>1328.9520858421999</v>
      </c>
      <c r="C15" s="43" t="s">
        <v>34</v>
      </c>
      <c r="D15" s="43">
        <v>372.84791846400003</v>
      </c>
      <c r="E15" s="43">
        <v>134.6395263343</v>
      </c>
      <c r="F15" s="100">
        <v>441.53043048899997</v>
      </c>
    </row>
    <row r="16" spans="1:6" ht="15.75" customHeight="1">
      <c r="A16" s="21">
        <v>42754</v>
      </c>
      <c r="B16" s="43">
        <v>1447.7837325664</v>
      </c>
      <c r="C16" s="43" t="s">
        <v>34</v>
      </c>
      <c r="D16" s="43">
        <v>333.600769152</v>
      </c>
      <c r="E16" s="43">
        <v>134.6395263343</v>
      </c>
      <c r="F16" s="100">
        <v>441.53043048899997</v>
      </c>
    </row>
    <row r="17" spans="1:6" ht="15.75" customHeight="1">
      <c r="A17" s="21">
        <v>42755</v>
      </c>
      <c r="B17" s="43">
        <v>1270.081361777</v>
      </c>
      <c r="C17" s="43" t="s">
        <v>34</v>
      </c>
      <c r="D17" s="43">
        <v>348.86354943999999</v>
      </c>
      <c r="E17" s="43">
        <v>134.6395263343</v>
      </c>
      <c r="F17" s="100">
        <v>446.98142345799999</v>
      </c>
    </row>
    <row r="18" spans="1:6" ht="15.75" customHeight="1">
      <c r="A18" s="21">
        <v>42758</v>
      </c>
      <c r="B18" s="43">
        <v>1275.532354746</v>
      </c>
      <c r="C18" s="43" t="s">
        <v>34</v>
      </c>
      <c r="D18" s="43">
        <v>289.99282547199999</v>
      </c>
      <c r="E18" s="43">
        <v>134.6395263343</v>
      </c>
      <c r="F18" s="100">
        <v>506.94234611699994</v>
      </c>
    </row>
    <row r="19" spans="1:6" ht="15.75" customHeight="1">
      <c r="A19" s="21">
        <v>42759</v>
      </c>
      <c r="B19" s="43">
        <v>1270.081361777</v>
      </c>
      <c r="C19" s="43" t="s">
        <v>34</v>
      </c>
      <c r="D19" s="43">
        <v>310.70659871999999</v>
      </c>
      <c r="E19" s="43">
        <v>136.274824225</v>
      </c>
      <c r="F19" s="43">
        <v>506.94234611699994</v>
      </c>
    </row>
    <row r="20" spans="1:6" ht="15.75" customHeight="1">
      <c r="A20" s="21">
        <v>42760</v>
      </c>
      <c r="B20" s="43">
        <v>872.15887503999988</v>
      </c>
      <c r="C20" s="43" t="s">
        <v>34</v>
      </c>
      <c r="D20" s="43">
        <v>272.54964799999999</v>
      </c>
      <c r="E20" s="43">
        <v>136.274824225</v>
      </c>
      <c r="F20" s="43">
        <v>408.82447267499998</v>
      </c>
    </row>
    <row r="21" spans="1:6" ht="15.75" customHeight="1">
      <c r="A21" s="21">
        <v>42761</v>
      </c>
      <c r="B21" s="43">
        <v>1508.8348538191999</v>
      </c>
      <c r="C21" s="43" t="s">
        <v>34</v>
      </c>
      <c r="D21" s="43">
        <v>311.25169801599998</v>
      </c>
      <c r="E21" s="43">
        <v>134.6395263343</v>
      </c>
      <c r="F21" s="100">
        <v>441.53043048899997</v>
      </c>
    </row>
    <row r="22" spans="1:6" ht="15.75" customHeight="1">
      <c r="A22" s="21">
        <v>42762</v>
      </c>
      <c r="B22" s="43">
        <v>1387.8228099073999</v>
      </c>
      <c r="C22" s="43">
        <v>814.37834956860002</v>
      </c>
      <c r="D22" s="43">
        <v>311.25169801599998</v>
      </c>
      <c r="E22" s="43">
        <v>134.6395263343</v>
      </c>
      <c r="F22" s="100">
        <v>506.99685604668997</v>
      </c>
    </row>
    <row r="23" spans="1:6" ht="15.75" customHeight="1">
      <c r="A23" s="21">
        <v>42765</v>
      </c>
      <c r="B23" s="43">
        <v>1362.74824225</v>
      </c>
      <c r="C23" s="43">
        <v>506.94234611699994</v>
      </c>
      <c r="D23" s="43">
        <v>311.30620794559997</v>
      </c>
      <c r="E23" s="43">
        <v>112.8355544583</v>
      </c>
      <c r="F23" s="100">
        <v>474.23638830299996</v>
      </c>
    </row>
    <row r="24" spans="1:6" ht="15.75" customHeight="1">
      <c r="A24" s="21">
        <v>42766</v>
      </c>
      <c r="B24" s="43">
        <v>1499.023066475</v>
      </c>
      <c r="C24" s="43">
        <v>506.94234611699994</v>
      </c>
      <c r="D24" s="43">
        <v>311.25169801599998</v>
      </c>
      <c r="E24" s="43">
        <v>134.6395263343</v>
      </c>
      <c r="F24" s="100">
        <v>506.94234611699994</v>
      </c>
    </row>
    <row r="25" spans="1:6" ht="15.75" customHeight="1">
      <c r="A25" s="21">
        <v>42767</v>
      </c>
      <c r="B25" s="43">
        <v>1106.5515727069999</v>
      </c>
      <c r="C25" s="43">
        <v>1199.2184531799999</v>
      </c>
      <c r="D25" s="43">
        <v>245.29468319999998</v>
      </c>
      <c r="E25" s="43">
        <v>136.274824225</v>
      </c>
      <c r="F25" s="43">
        <v>354.314542985</v>
      </c>
    </row>
    <row r="26" spans="1:6" ht="15.75" customHeight="1">
      <c r="A26" s="21">
        <v>42768</v>
      </c>
      <c r="B26" s="43">
        <v>1106.5515727069999</v>
      </c>
      <c r="C26" s="43">
        <v>1199.2184531799999</v>
      </c>
      <c r="D26" s="43">
        <v>212.58872543999999</v>
      </c>
      <c r="E26" s="43">
        <v>136.274824225</v>
      </c>
      <c r="F26" s="100">
        <v>354.314542985</v>
      </c>
    </row>
    <row r="27" spans="1:6" ht="15.75" customHeight="1">
      <c r="A27" s="21">
        <v>42769</v>
      </c>
      <c r="B27" s="43">
        <v>1662.5528555449998</v>
      </c>
      <c r="C27" s="43">
        <v>970.2767484819999</v>
      </c>
      <c r="D27" s="43">
        <v>311.25169801599998</v>
      </c>
      <c r="E27" s="43">
        <v>134.6395263343</v>
      </c>
      <c r="F27" s="100">
        <v>506.99685604668997</v>
      </c>
    </row>
    <row r="28" spans="1:6" ht="15.75" customHeight="1">
      <c r="A28" s="21">
        <v>42772</v>
      </c>
      <c r="B28" s="43">
        <v>1106.5515727069999</v>
      </c>
      <c r="C28" s="43" t="s">
        <v>34</v>
      </c>
      <c r="D28" s="43">
        <v>245.29468319999998</v>
      </c>
      <c r="E28" s="43">
        <v>136.274824225</v>
      </c>
      <c r="F28" s="100">
        <v>354.314542985</v>
      </c>
    </row>
    <row r="29" spans="1:6" ht="15.75" customHeight="1">
      <c r="A29" s="21">
        <v>42773</v>
      </c>
      <c r="B29" s="43">
        <v>1133.806537552</v>
      </c>
      <c r="C29" s="43" t="s">
        <v>34</v>
      </c>
      <c r="D29" s="43">
        <v>262.62884081279998</v>
      </c>
      <c r="E29" s="43">
        <v>134.6395263343</v>
      </c>
      <c r="F29" s="100">
        <v>430.62844455099997</v>
      </c>
    </row>
    <row r="30" spans="1:6" ht="15.75" customHeight="1">
      <c r="A30" s="21">
        <v>42774</v>
      </c>
      <c r="B30" s="43">
        <v>1106.5515727069999</v>
      </c>
      <c r="C30" s="43">
        <v>1199.2184531799999</v>
      </c>
      <c r="D30" s="43">
        <v>245.29468319999998</v>
      </c>
      <c r="E30" s="43">
        <v>136.274824225</v>
      </c>
      <c r="F30" s="100">
        <v>272.54964845000001</v>
      </c>
    </row>
    <row r="31" spans="1:6" ht="15.75" customHeight="1">
      <c r="A31" s="21">
        <v>42775</v>
      </c>
      <c r="B31" s="43">
        <v>692.27610706299993</v>
      </c>
      <c r="C31" s="43">
        <v>1362.74824225</v>
      </c>
      <c r="D31" s="43">
        <v>185.33376063999998</v>
      </c>
      <c r="E31" s="43">
        <v>136.274824225</v>
      </c>
      <c r="F31" s="100">
        <v>354.314542985</v>
      </c>
    </row>
    <row r="32" spans="1:6" ht="15.75" customHeight="1">
      <c r="A32" s="21">
        <v>42777</v>
      </c>
      <c r="B32" s="43">
        <v>1324.591291467</v>
      </c>
      <c r="C32" s="43">
        <v>648.66816331099994</v>
      </c>
      <c r="D32" s="43">
        <v>311.25169801599998</v>
      </c>
      <c r="E32" s="43">
        <v>134.6395263343</v>
      </c>
      <c r="F32" s="43">
        <v>441.53043048899997</v>
      </c>
    </row>
    <row r="33" spans="1:6" ht="15.75" customHeight="1">
      <c r="A33" s="21">
        <v>42779</v>
      </c>
      <c r="B33" s="43">
        <v>1106.5515727069999</v>
      </c>
      <c r="C33" s="43">
        <v>261.64766251200001</v>
      </c>
      <c r="D33" s="43">
        <v>245.29468319999998</v>
      </c>
      <c r="E33" s="43">
        <v>136.274824225</v>
      </c>
      <c r="F33" s="100">
        <v>446.98142345799999</v>
      </c>
    </row>
    <row r="34" spans="1:6" ht="15.75" customHeight="1">
      <c r="A34" s="21">
        <v>42780</v>
      </c>
      <c r="B34" s="43">
        <v>1106.5515727069999</v>
      </c>
      <c r="C34" s="43">
        <v>261.64766251200001</v>
      </c>
      <c r="D34" s="43">
        <v>245.29468319999998</v>
      </c>
      <c r="E34" s="43">
        <v>136.274824225</v>
      </c>
      <c r="F34" s="100">
        <v>403.37347970599996</v>
      </c>
    </row>
    <row r="35" spans="1:6" ht="15.75" customHeight="1">
      <c r="A35" s="21">
        <v>42781</v>
      </c>
      <c r="B35" s="43">
        <v>1270.081361777</v>
      </c>
      <c r="C35" s="43">
        <v>501.49135314799997</v>
      </c>
      <c r="D35" s="43">
        <v>311.25169801599998</v>
      </c>
      <c r="E35" s="43">
        <v>112.8355544583</v>
      </c>
      <c r="F35" s="100">
        <v>441.53043048899997</v>
      </c>
    </row>
    <row r="36" spans="1:6" ht="15.75" customHeight="1">
      <c r="A36" s="21">
        <v>42782</v>
      </c>
      <c r="B36" s="43">
        <v>1199.2184531799999</v>
      </c>
      <c r="C36" s="43">
        <v>370.66752189199997</v>
      </c>
      <c r="D36" s="43">
        <v>276.36534307200003</v>
      </c>
      <c r="E36" s="43">
        <v>112.8355544583</v>
      </c>
      <c r="F36" s="100">
        <v>446.98142345799999</v>
      </c>
    </row>
    <row r="37" spans="1:6" ht="15.75" customHeight="1">
      <c r="A37" s="21">
        <v>42783</v>
      </c>
      <c r="B37" s="43">
        <v>1106.5515727069999</v>
      </c>
      <c r="C37" s="43">
        <v>981.17873441999996</v>
      </c>
      <c r="D37" s="43">
        <v>245.29468319999998</v>
      </c>
      <c r="E37" s="43">
        <v>114.470852349</v>
      </c>
      <c r="F37" s="43">
        <v>446.98142345799999</v>
      </c>
    </row>
    <row r="38" spans="1:6" ht="15.75" customHeight="1">
      <c r="A38" s="21">
        <v>42786</v>
      </c>
      <c r="B38" s="43">
        <v>1447.7837325664</v>
      </c>
      <c r="C38" s="43">
        <v>509.66784260149996</v>
      </c>
      <c r="D38" s="43">
        <v>297.07911631999997</v>
      </c>
      <c r="E38" s="43">
        <v>143.90621438159999</v>
      </c>
      <c r="F38" s="100">
        <v>410.45977056569996</v>
      </c>
    </row>
    <row r="39" spans="1:6" ht="15.75" customHeight="1">
      <c r="A39" s="21">
        <v>42787</v>
      </c>
      <c r="B39" s="43">
        <v>1035.68866411</v>
      </c>
      <c r="C39" s="43" t="s">
        <v>34</v>
      </c>
      <c r="D39" s="43">
        <v>243.11428601599999</v>
      </c>
      <c r="E39" s="43">
        <v>158.62389539789999</v>
      </c>
      <c r="F39" s="100">
        <v>381.56950782999996</v>
      </c>
    </row>
    <row r="40" spans="1:6" ht="15.75" customHeight="1">
      <c r="A40" s="21">
        <v>42788</v>
      </c>
      <c r="B40" s="43">
        <v>1035.68866411</v>
      </c>
      <c r="C40" s="43" t="s">
        <v>34</v>
      </c>
      <c r="D40" s="43">
        <v>243.11428601599999</v>
      </c>
      <c r="E40" s="43">
        <v>158.07879610099999</v>
      </c>
      <c r="F40" s="100">
        <v>381.56950782999996</v>
      </c>
    </row>
    <row r="41" spans="1:6" ht="15.75" customHeight="1">
      <c r="A41" s="21">
        <v>42789</v>
      </c>
      <c r="B41" s="43">
        <v>1231.924410994</v>
      </c>
      <c r="C41" s="43" t="s">
        <v>34</v>
      </c>
      <c r="D41" s="43">
        <v>243.11428601599999</v>
      </c>
      <c r="E41" s="43">
        <v>158.62389539789999</v>
      </c>
      <c r="F41" s="43">
        <v>446.98142345799999</v>
      </c>
    </row>
    <row r="42" spans="1:6" ht="15.75" customHeight="1">
      <c r="A42" s="21">
        <v>42790</v>
      </c>
      <c r="B42" s="43">
        <v>1139.257530521</v>
      </c>
      <c r="C42" s="43" t="s">
        <v>34</v>
      </c>
      <c r="D42" s="43">
        <v>275.05710476159999</v>
      </c>
      <c r="E42" s="43">
        <v>158.62389539789999</v>
      </c>
      <c r="F42" s="43">
        <v>414.27546564399995</v>
      </c>
    </row>
    <row r="43" spans="1:6" ht="15.75" customHeight="1">
      <c r="A43" s="21">
        <v>42793</v>
      </c>
      <c r="B43" s="43">
        <v>1271.7166596677</v>
      </c>
      <c r="C43" s="43">
        <v>370.66752189199997</v>
      </c>
      <c r="D43" s="43">
        <v>372.84791846400003</v>
      </c>
      <c r="E43" s="43">
        <v>104.65906500479998</v>
      </c>
      <c r="F43" s="100">
        <v>380.86087874403</v>
      </c>
    </row>
    <row r="44" spans="1:6" ht="15.75" customHeight="1">
      <c r="A44" s="21">
        <v>42794</v>
      </c>
      <c r="B44" s="43">
        <v>1216.1165313838999</v>
      </c>
      <c r="C44" s="43">
        <v>370.66752189199997</v>
      </c>
      <c r="D44" s="43">
        <v>364.67142902400002</v>
      </c>
      <c r="E44" s="43">
        <v>104.65906500479998</v>
      </c>
      <c r="F44" s="100">
        <v>352.35218551615998</v>
      </c>
    </row>
    <row r="45" spans="1:6" ht="15.75" customHeight="1">
      <c r="A45" s="21">
        <v>42795</v>
      </c>
      <c r="B45" s="43">
        <v>1106.5515727069999</v>
      </c>
      <c r="C45" s="43" t="s">
        <v>34</v>
      </c>
      <c r="D45" s="43">
        <v>272.54964799999999</v>
      </c>
      <c r="E45" s="43">
        <v>114.470852349</v>
      </c>
      <c r="F45" s="100">
        <v>387.02050079899999</v>
      </c>
    </row>
    <row r="46" spans="1:6" ht="15.75" customHeight="1">
      <c r="A46" s="21">
        <v>42796</v>
      </c>
      <c r="B46" s="43">
        <v>1106.5515727069999</v>
      </c>
      <c r="C46" s="43" t="s">
        <v>34</v>
      </c>
      <c r="D46" s="43">
        <v>272.54964799999999</v>
      </c>
      <c r="E46" s="43">
        <v>114.470852349</v>
      </c>
      <c r="F46" s="100">
        <v>387.02050079899999</v>
      </c>
    </row>
    <row r="47" spans="1:6" ht="15.75" customHeight="1">
      <c r="A47" s="21">
        <v>42797</v>
      </c>
      <c r="B47" s="43">
        <v>1108.7319698946001</v>
      </c>
      <c r="C47" s="43" t="s">
        <v>34</v>
      </c>
      <c r="D47" s="43">
        <v>99.099052012800001</v>
      </c>
      <c r="E47" s="43">
        <v>104.65906500479998</v>
      </c>
      <c r="F47" s="100">
        <v>387.02050079899999</v>
      </c>
    </row>
    <row r="48" spans="1:6" ht="15.75" customHeight="1">
      <c r="A48" s="21">
        <v>42800</v>
      </c>
      <c r="B48" s="43">
        <v>1035.68866411</v>
      </c>
      <c r="C48" s="43" t="s">
        <v>34</v>
      </c>
      <c r="D48" s="43">
        <v>245.29468319999998</v>
      </c>
      <c r="E48" s="43">
        <v>114.470852349</v>
      </c>
      <c r="F48" s="43">
        <v>354.314542985</v>
      </c>
    </row>
    <row r="49" spans="1:6" ht="15.75" customHeight="1">
      <c r="A49" s="21">
        <v>42801</v>
      </c>
      <c r="B49" s="43">
        <v>981.17873441999996</v>
      </c>
      <c r="C49" s="43" t="s">
        <v>34</v>
      </c>
      <c r="D49" s="43">
        <v>297.07911631999997</v>
      </c>
      <c r="E49" s="43">
        <v>134.6395263343</v>
      </c>
      <c r="F49" s="43">
        <v>283.451634388</v>
      </c>
    </row>
    <row r="50" spans="1:6" ht="15.75" customHeight="1">
      <c r="A50" s="21">
        <v>42802</v>
      </c>
      <c r="B50" s="43">
        <v>1216.1165313838999</v>
      </c>
      <c r="C50" s="43" t="s">
        <v>34</v>
      </c>
      <c r="D50" s="43">
        <v>276.36534307200003</v>
      </c>
      <c r="E50" s="43">
        <v>109.01985937999999</v>
      </c>
      <c r="F50" s="100">
        <v>380.86087874403</v>
      </c>
    </row>
    <row r="51" spans="1:6" ht="15.75" customHeight="1">
      <c r="A51" s="21">
        <v>42803</v>
      </c>
      <c r="B51" s="43">
        <v>953.92376957499994</v>
      </c>
      <c r="C51" s="43" t="s">
        <v>34</v>
      </c>
      <c r="D51" s="43">
        <v>185.33376063999998</v>
      </c>
      <c r="E51" s="43">
        <v>114.470852349</v>
      </c>
      <c r="F51" s="100">
        <v>337.96156407799998</v>
      </c>
    </row>
    <row r="52" spans="1:6" ht="15.75" customHeight="1">
      <c r="A52" s="21">
        <v>42804</v>
      </c>
      <c r="B52" s="43">
        <v>953.92376957499994</v>
      </c>
      <c r="C52" s="43" t="s">
        <v>34</v>
      </c>
      <c r="D52" s="43">
        <v>185.33376063999998</v>
      </c>
      <c r="E52" s="43">
        <v>114.470852349</v>
      </c>
      <c r="F52" s="100">
        <v>337.96156407799998</v>
      </c>
    </row>
    <row r="53" spans="1:6" ht="15.75" customHeight="1">
      <c r="A53" s="21">
        <v>42807</v>
      </c>
      <c r="B53" s="43">
        <v>1090.1985938</v>
      </c>
      <c r="C53" s="43" t="s">
        <v>34</v>
      </c>
      <c r="D53" s="43">
        <v>239.84369024</v>
      </c>
      <c r="E53" s="43">
        <v>163.52978906999999</v>
      </c>
      <c r="F53" s="100">
        <v>354.314542985</v>
      </c>
    </row>
    <row r="54" spans="1:6" ht="15.75" customHeight="1">
      <c r="A54" s="21">
        <v>42808</v>
      </c>
      <c r="B54" s="43">
        <v>1035.68866411</v>
      </c>
      <c r="C54" s="43" t="s">
        <v>34</v>
      </c>
      <c r="D54" s="43">
        <v>245.29468319999998</v>
      </c>
      <c r="E54" s="43">
        <v>114.470852349</v>
      </c>
      <c r="F54" s="100">
        <v>299.80461329499997</v>
      </c>
    </row>
    <row r="55" spans="1:6" ht="15.75" customHeight="1">
      <c r="A55" s="21">
        <v>42809</v>
      </c>
      <c r="B55" s="43">
        <v>1569.8859750719998</v>
      </c>
      <c r="C55" s="43">
        <v>490.58936720999998</v>
      </c>
      <c r="D55" s="43">
        <v>276.36534307200003</v>
      </c>
      <c r="E55" s="43">
        <v>163.52978906999999</v>
      </c>
      <c r="F55" s="100">
        <v>354.314542985</v>
      </c>
    </row>
    <row r="56" spans="1:6" ht="15.75" customHeight="1">
      <c r="A56" s="21">
        <v>42810</v>
      </c>
      <c r="B56" s="43">
        <v>188.0592574305</v>
      </c>
      <c r="C56" s="43">
        <v>490.58936720999998</v>
      </c>
      <c r="D56" s="43">
        <v>276.36534307200003</v>
      </c>
      <c r="E56" s="43">
        <v>134.6395263343</v>
      </c>
      <c r="F56" s="100">
        <v>354.314542985</v>
      </c>
    </row>
    <row r="57" spans="1:6" ht="15.75" customHeight="1">
      <c r="A57" s="21">
        <v>42811</v>
      </c>
      <c r="B57" s="43">
        <v>1362.74824225</v>
      </c>
      <c r="C57" s="43">
        <v>1090.1985938</v>
      </c>
      <c r="D57" s="43">
        <v>239.84369024</v>
      </c>
      <c r="E57" s="43">
        <v>136.274824225</v>
      </c>
      <c r="F57" s="100">
        <v>354.314542985</v>
      </c>
    </row>
    <row r="58" spans="1:6" ht="15.75" customHeight="1">
      <c r="A58" s="21">
        <v>42814</v>
      </c>
      <c r="B58" s="43">
        <v>1275.532354746</v>
      </c>
      <c r="C58" s="43">
        <v>501.49135314799997</v>
      </c>
      <c r="D58" s="43">
        <v>239.84369024</v>
      </c>
      <c r="E58" s="43">
        <v>136.274824225</v>
      </c>
      <c r="F58" s="43">
        <v>354.314542985</v>
      </c>
    </row>
    <row r="59" spans="1:6" ht="15.75" customHeight="1">
      <c r="A59" s="21">
        <v>42815</v>
      </c>
      <c r="B59" s="43">
        <v>1106.5515727069999</v>
      </c>
      <c r="C59" s="43">
        <v>501.49135314799997</v>
      </c>
      <c r="D59" s="43">
        <v>245.29468319999998</v>
      </c>
      <c r="E59" s="43">
        <v>114.470852349</v>
      </c>
      <c r="F59" s="100">
        <v>354.314542985</v>
      </c>
    </row>
    <row r="60" spans="1:6" ht="15.75" customHeight="1">
      <c r="A60" s="21">
        <v>42816</v>
      </c>
      <c r="B60" s="43">
        <v>1270.081361777</v>
      </c>
      <c r="C60" s="43">
        <v>572</v>
      </c>
      <c r="D60" s="43">
        <v>212.58872543999999</v>
      </c>
      <c r="E60" s="43">
        <v>112.8355544583</v>
      </c>
      <c r="F60" s="100">
        <v>354.314542985</v>
      </c>
    </row>
    <row r="61" spans="1:6" ht="15.75" customHeight="1">
      <c r="A61" s="21">
        <v>42817</v>
      </c>
      <c r="B61" s="43">
        <v>1471.7681016299998</v>
      </c>
      <c r="C61" s="43">
        <v>708.62908597000001</v>
      </c>
      <c r="D61" s="43">
        <v>245.29468319999998</v>
      </c>
      <c r="E61" s="43">
        <v>112.8355544583</v>
      </c>
      <c r="F61" s="100">
        <v>354.314542985</v>
      </c>
    </row>
    <row r="62" spans="1:6" ht="15.75" customHeight="1">
      <c r="A62" s="21">
        <v>42818</v>
      </c>
      <c r="B62" s="43">
        <v>1471.7681016299998</v>
      </c>
      <c r="C62" s="43">
        <v>708.62908597000001</v>
      </c>
      <c r="D62" s="43">
        <v>239.84369024</v>
      </c>
      <c r="E62" s="43">
        <v>112.8355544583</v>
      </c>
      <c r="F62" s="100">
        <v>354.314542985</v>
      </c>
    </row>
    <row r="63" spans="1:6" ht="15.75" customHeight="1">
      <c r="A63" s="21">
        <v>42821</v>
      </c>
      <c r="B63" s="43">
        <v>1271.7166596677</v>
      </c>
      <c r="C63" s="43">
        <v>709</v>
      </c>
      <c r="D63" s="43">
        <v>243.11428601599999</v>
      </c>
      <c r="E63" s="43">
        <v>112.8355544583</v>
      </c>
      <c r="F63" s="43">
        <v>352.13414579739992</v>
      </c>
    </row>
    <row r="64" spans="1:6" ht="15.75" customHeight="1">
      <c r="A64" s="21">
        <v>42822</v>
      </c>
      <c r="B64" s="43">
        <v>1270.081361777</v>
      </c>
      <c r="C64" s="43">
        <v>817.64894534999996</v>
      </c>
      <c r="D64" s="43">
        <v>245.29468319999998</v>
      </c>
      <c r="E64" s="43">
        <v>114.470852349</v>
      </c>
      <c r="F64" s="43">
        <v>354.314542985</v>
      </c>
    </row>
    <row r="65" spans="1:6" ht="15.75" customHeight="1">
      <c r="A65" s="21">
        <v>42823</v>
      </c>
      <c r="B65" s="43">
        <v>1280.9833477149998</v>
      </c>
      <c r="C65" s="43">
        <v>763</v>
      </c>
      <c r="D65" s="43">
        <v>212.58872543999999</v>
      </c>
      <c r="E65" s="43">
        <v>112.8355544583</v>
      </c>
      <c r="F65" s="43">
        <v>305.25560626399999</v>
      </c>
    </row>
    <row r="66" spans="1:6" ht="15.75" customHeight="1">
      <c r="A66" s="21">
        <v>42824</v>
      </c>
      <c r="B66" s="43">
        <v>1280.9833477149998</v>
      </c>
      <c r="C66" s="43">
        <v>790</v>
      </c>
      <c r="D66" s="43">
        <v>239.84369024</v>
      </c>
      <c r="E66" s="43">
        <v>114.470852349</v>
      </c>
      <c r="F66" s="43">
        <v>305.25560626399999</v>
      </c>
    </row>
    <row r="67" spans="1:6" ht="15.75" customHeight="1">
      <c r="A67" s="21">
        <v>42825</v>
      </c>
      <c r="B67" s="43">
        <v>1572.0663722595998</v>
      </c>
      <c r="C67" s="43">
        <v>818</v>
      </c>
      <c r="D67" s="43">
        <v>269.279052224</v>
      </c>
      <c r="E67" s="43">
        <v>114.470852349</v>
      </c>
      <c r="F67" s="100">
        <v>324.98820081177996</v>
      </c>
    </row>
    <row r="68" spans="1:6" ht="15.75" customHeight="1">
      <c r="A68" s="21">
        <v>42828</v>
      </c>
      <c r="B68" s="43">
        <v>763.13901565999993</v>
      </c>
      <c r="C68" s="43">
        <v>81.764894534999996</v>
      </c>
      <c r="D68" s="43">
        <v>239.84369063599999</v>
      </c>
      <c r="E68" s="43">
        <v>114.470852349</v>
      </c>
      <c r="F68" s="100">
        <v>354.314542985</v>
      </c>
    </row>
    <row r="69" spans="1:6" ht="15.75" customHeight="1">
      <c r="A69" s="21">
        <v>42829</v>
      </c>
      <c r="B69" s="43">
        <v>1460.866115692</v>
      </c>
      <c r="C69" s="43">
        <v>708.62908597000001</v>
      </c>
      <c r="D69" s="43">
        <v>276.3653435283</v>
      </c>
      <c r="E69" s="43">
        <v>112.8355544583</v>
      </c>
      <c r="F69" s="100">
        <v>354.314542985</v>
      </c>
    </row>
    <row r="70" spans="1:6" ht="15.75" customHeight="1">
      <c r="A70" s="21">
        <v>42830</v>
      </c>
      <c r="B70" s="43">
        <v>506.94234611699994</v>
      </c>
      <c r="C70" s="43" t="s">
        <v>34</v>
      </c>
      <c r="D70" s="43">
        <v>245.29468360499999</v>
      </c>
      <c r="E70" s="43">
        <v>1444.5131367849999</v>
      </c>
      <c r="F70" s="100">
        <v>376.11851486099999</v>
      </c>
    </row>
    <row r="71" spans="1:6" ht="15.75" customHeight="1">
      <c r="A71" s="21">
        <v>42831</v>
      </c>
      <c r="B71" s="43">
        <v>1569.8859750719998</v>
      </c>
      <c r="C71" s="43">
        <v>506.94234611699994</v>
      </c>
      <c r="D71" s="43">
        <v>256.19666954299998</v>
      </c>
      <c r="E71" s="43">
        <v>114.470852349</v>
      </c>
      <c r="F71" s="43">
        <v>392.47149376799996</v>
      </c>
    </row>
    <row r="72" spans="1:6" ht="15.75" customHeight="1">
      <c r="A72" s="21">
        <v>42832</v>
      </c>
      <c r="B72" s="43">
        <v>2234.9071172899999</v>
      </c>
      <c r="C72" s="43">
        <v>506.94234611699994</v>
      </c>
      <c r="D72" s="43">
        <v>256.19666954299998</v>
      </c>
      <c r="E72" s="43">
        <v>114.470852349</v>
      </c>
      <c r="F72" s="43">
        <v>452.43241642699996</v>
      </c>
    </row>
    <row r="73" spans="1:6" ht="15.75" customHeight="1">
      <c r="A73" s="21">
        <v>42835</v>
      </c>
      <c r="B73" s="43">
        <v>1880.592574305</v>
      </c>
      <c r="C73" s="43">
        <v>1362.74824225</v>
      </c>
      <c r="D73" s="43">
        <v>245.29468360499999</v>
      </c>
      <c r="E73" s="43">
        <v>114.470852349</v>
      </c>
      <c r="F73" s="100">
        <v>446.98142345799999</v>
      </c>
    </row>
    <row r="74" spans="1:6" ht="15.75" customHeight="1">
      <c r="A74" s="21">
        <v>42836</v>
      </c>
      <c r="B74" s="43">
        <v>1880.592574305</v>
      </c>
      <c r="C74" s="43">
        <v>981.17873441999996</v>
      </c>
      <c r="D74" s="43">
        <v>276.3653435283</v>
      </c>
      <c r="E74" s="43">
        <v>114.470852349</v>
      </c>
      <c r="F74" s="100">
        <v>446.98142345799999</v>
      </c>
    </row>
    <row r="75" spans="1:6" ht="15.75" customHeight="1">
      <c r="A75" s="21">
        <v>42837</v>
      </c>
      <c r="B75" s="43">
        <v>1880.592574305</v>
      </c>
      <c r="C75" s="43">
        <v>1171.963488335</v>
      </c>
      <c r="D75" s="43">
        <v>276.3653435283</v>
      </c>
      <c r="E75" s="43">
        <v>114.470852349</v>
      </c>
      <c r="F75" s="100">
        <v>446.98142345799999</v>
      </c>
    </row>
    <row r="76" spans="1:6" ht="15.75" customHeight="1">
      <c r="A76" s="21">
        <v>42838</v>
      </c>
      <c r="B76" s="43">
        <v>2234.9071172899999</v>
      </c>
      <c r="C76" s="43">
        <v>953.92376957499994</v>
      </c>
      <c r="D76" s="43">
        <v>311.30620845958998</v>
      </c>
      <c r="E76" s="43">
        <v>134.6395263343</v>
      </c>
      <c r="F76" s="100">
        <v>501.49135314799997</v>
      </c>
    </row>
    <row r="77" spans="1:6" ht="15.75" customHeight="1">
      <c r="A77" s="21">
        <v>42839</v>
      </c>
      <c r="B77" s="43">
        <v>1989.6124336849998</v>
      </c>
      <c r="C77" s="43">
        <v>1580.2428617130997</v>
      </c>
      <c r="D77" s="43">
        <v>245.29468360499999</v>
      </c>
      <c r="E77" s="43">
        <v>136.274824225</v>
      </c>
      <c r="F77" s="43">
        <v>452.43241642699996</v>
      </c>
    </row>
    <row r="78" spans="1:6" ht="15.75" customHeight="1">
      <c r="A78" s="21">
        <v>42842</v>
      </c>
      <c r="B78" s="43">
        <v>2778.3711162993</v>
      </c>
      <c r="C78" s="43">
        <v>2398.4369063599997</v>
      </c>
      <c r="D78" s="43">
        <v>304.05638781082001</v>
      </c>
      <c r="E78" s="43">
        <v>125.9179375839</v>
      </c>
      <c r="F78" s="43">
        <v>506.94234611699994</v>
      </c>
    </row>
    <row r="79" spans="1:6" ht="15.75" customHeight="1">
      <c r="A79" s="21">
        <v>42843</v>
      </c>
      <c r="B79" s="43">
        <v>2616.4766251199999</v>
      </c>
      <c r="C79" s="43">
        <v>975.72774145099993</v>
      </c>
      <c r="D79" s="43">
        <v>311.25169852990001</v>
      </c>
      <c r="E79" s="43">
        <v>112.8355544583</v>
      </c>
      <c r="F79" s="43">
        <v>490.58936720999998</v>
      </c>
    </row>
    <row r="80" spans="1:6" ht="15.75" customHeight="1">
      <c r="A80" s="21">
        <v>42844</v>
      </c>
      <c r="B80" s="43">
        <v>2998.0461329499999</v>
      </c>
      <c r="C80" s="43">
        <v>1253.7283828699999</v>
      </c>
      <c r="D80" s="43">
        <v>278.54574071589997</v>
      </c>
      <c r="E80" s="43">
        <v>112.8355544583</v>
      </c>
      <c r="F80" s="43">
        <v>446.98142345799999</v>
      </c>
    </row>
    <row r="81" spans="1:6" ht="15.75" customHeight="1">
      <c r="A81" s="21">
        <v>42845</v>
      </c>
      <c r="B81" s="43">
        <v>3477.7335142219999</v>
      </c>
      <c r="C81" s="43">
        <v>1253.7283828699999</v>
      </c>
      <c r="D81" s="43">
        <v>311.25169852990001</v>
      </c>
      <c r="E81" s="43">
        <v>112.8355544583</v>
      </c>
      <c r="F81" s="100">
        <v>556.00128283799995</v>
      </c>
    </row>
    <row r="82" spans="1:6" ht="15.75" customHeight="1">
      <c r="A82" s="21">
        <v>42846</v>
      </c>
      <c r="B82" s="43">
        <v>3815.6950782999998</v>
      </c>
      <c r="C82" s="43">
        <v>2758.2024423139997</v>
      </c>
      <c r="D82" s="43">
        <v>348.86355001599998</v>
      </c>
      <c r="E82" s="43">
        <v>112.8355544583</v>
      </c>
      <c r="F82" s="100">
        <v>556.00128283799995</v>
      </c>
    </row>
    <row r="83" spans="1:6" ht="15.75" customHeight="1">
      <c r="A83" s="21">
        <v>42849</v>
      </c>
      <c r="B83" s="43">
        <v>4270.8529912115</v>
      </c>
      <c r="C83" s="43">
        <v>3325.1057110899997</v>
      </c>
      <c r="D83" s="43">
        <v>389.20089798660001</v>
      </c>
      <c r="E83" s="43">
        <v>121.5571432087</v>
      </c>
      <c r="F83" s="100">
        <v>614.32690760629998</v>
      </c>
    </row>
    <row r="84" spans="1:6" ht="15.75" customHeight="1">
      <c r="A84" s="21">
        <v>42850</v>
      </c>
      <c r="B84" s="43">
        <v>4497.0691994250001</v>
      </c>
      <c r="C84" s="43">
        <v>3570.4003946949997</v>
      </c>
      <c r="D84" s="43">
        <v>295.98891821669997</v>
      </c>
      <c r="E84" s="43">
        <v>117.1963488335</v>
      </c>
      <c r="F84" s="100">
        <v>670.47213518699994</v>
      </c>
    </row>
    <row r="85" spans="1:6" ht="15.75" customHeight="1">
      <c r="A85" s="21">
        <v>42851</v>
      </c>
      <c r="B85" s="43">
        <v>5232.9532502399998</v>
      </c>
      <c r="C85" s="43">
        <v>2289.4170469799997</v>
      </c>
      <c r="D85" s="43">
        <v>311.25169852990001</v>
      </c>
      <c r="E85" s="43">
        <v>112.8355544583</v>
      </c>
      <c r="F85" s="100">
        <v>1095.6495867689998</v>
      </c>
    </row>
    <row r="86" spans="1:6" ht="15.75" customHeight="1">
      <c r="A86" s="21">
        <v>42852</v>
      </c>
      <c r="B86" s="43">
        <v>5232.9532502399998</v>
      </c>
      <c r="C86" s="43">
        <v>3570.4003946949997</v>
      </c>
      <c r="D86" s="43">
        <v>311.25169852990001</v>
      </c>
      <c r="E86" s="43">
        <v>112.8355544583</v>
      </c>
      <c r="F86" s="100">
        <v>681.37412112499999</v>
      </c>
    </row>
    <row r="87" spans="1:6" ht="15.75" customHeight="1">
      <c r="A87" s="21">
        <v>42853</v>
      </c>
      <c r="B87" s="43">
        <v>5069.4234611699994</v>
      </c>
      <c r="C87" s="43">
        <v>2016.8673985299999</v>
      </c>
      <c r="D87" s="43">
        <v>311.30620845958998</v>
      </c>
      <c r="E87" s="43">
        <v>112.8355544583</v>
      </c>
      <c r="F87" s="43">
        <v>735.88405081499991</v>
      </c>
    </row>
    <row r="88" spans="1:6" ht="15.75" customHeight="1">
      <c r="A88" s="21">
        <v>42856</v>
      </c>
      <c r="B88" s="43">
        <v>4633.3440236500001</v>
      </c>
      <c r="C88" s="43">
        <v>4578.8340939599993</v>
      </c>
      <c r="D88" s="43">
        <v>348.86355001599998</v>
      </c>
      <c r="E88" s="43">
        <v>136.274824225</v>
      </c>
      <c r="F88" s="43">
        <v>1035.68866411</v>
      </c>
    </row>
    <row r="89" spans="1:6" ht="15.75" customHeight="1">
      <c r="A89" s="21">
        <v>42857</v>
      </c>
      <c r="B89" s="43">
        <v>5343.0633082138002</v>
      </c>
      <c r="C89" s="43">
        <v>3848.4010361139999</v>
      </c>
      <c r="D89" s="43">
        <v>496.04036017899995</v>
      </c>
      <c r="E89" s="43">
        <v>112.8355544583</v>
      </c>
      <c r="F89" s="100">
        <v>1056.9475366890999</v>
      </c>
    </row>
    <row r="90" spans="1:6" ht="15.75" customHeight="1">
      <c r="A90" s="21">
        <v>42858</v>
      </c>
      <c r="B90" s="43">
        <v>7593.2332058169995</v>
      </c>
      <c r="C90" s="43">
        <v>3848.4010361139999</v>
      </c>
      <c r="D90" s="43">
        <v>496.04036017899995</v>
      </c>
      <c r="E90" s="43">
        <v>112.8355544583</v>
      </c>
      <c r="F90" s="100">
        <v>1161.6066016938998</v>
      </c>
    </row>
    <row r="91" spans="1:6" ht="15.75" customHeight="1">
      <c r="A91" s="21">
        <v>42859</v>
      </c>
      <c r="B91" s="43">
        <v>27794.613148930999</v>
      </c>
      <c r="C91" s="43">
        <v>21095.342790029998</v>
      </c>
      <c r="D91" s="43">
        <v>476.96188478749997</v>
      </c>
      <c r="E91" s="43">
        <v>134.6395263343</v>
      </c>
      <c r="F91" s="100">
        <v>4159.1076353469998</v>
      </c>
    </row>
    <row r="92" spans="1:6" ht="15.75" customHeight="1">
      <c r="A92" s="21">
        <v>42860</v>
      </c>
      <c r="B92" s="43">
        <v>72498.206487699994</v>
      </c>
      <c r="C92" s="43">
        <v>34641.060317994998</v>
      </c>
      <c r="D92" s="43">
        <v>685.18981620329998</v>
      </c>
      <c r="E92" s="43">
        <v>134.6395263343</v>
      </c>
      <c r="F92" s="100">
        <v>20152.321006392998</v>
      </c>
    </row>
    <row r="93" spans="1:6" ht="15.75" customHeight="1">
      <c r="A93" s="21">
        <v>42863</v>
      </c>
      <c r="B93" s="43">
        <v>42545.000123045</v>
      </c>
      <c r="C93" s="43">
        <v>40337.3479706</v>
      </c>
      <c r="D93" s="43">
        <v>1793.3766868009998</v>
      </c>
      <c r="E93" s="43">
        <v>136.274824225</v>
      </c>
      <c r="F93" s="43">
        <v>17764.786085970998</v>
      </c>
    </row>
    <row r="94" spans="1:6" ht="15.75" customHeight="1">
      <c r="A94" s="21">
        <v>42864</v>
      </c>
      <c r="B94" s="43">
        <v>41231.310817515994</v>
      </c>
      <c r="C94" s="43">
        <v>41482.05649409</v>
      </c>
      <c r="D94" s="43">
        <v>2120.436264941</v>
      </c>
      <c r="E94" s="43">
        <v>185.33376094599998</v>
      </c>
      <c r="F94" s="43">
        <v>15317.29024289</v>
      </c>
    </row>
    <row r="95" spans="1:6" ht="15.75" customHeight="1">
      <c r="A95" s="21">
        <v>42865</v>
      </c>
      <c r="B95" s="43">
        <v>46175.361440399</v>
      </c>
      <c r="C95" s="43">
        <v>15916.899469479999</v>
      </c>
      <c r="D95" s="43">
        <v>2283.9660540109999</v>
      </c>
      <c r="E95" s="43">
        <v>112.8355544583</v>
      </c>
      <c r="F95" s="100">
        <v>19051.220426655</v>
      </c>
    </row>
    <row r="96" spans="1:6" ht="15.75" customHeight="1">
      <c r="A96" s="21">
        <v>42866</v>
      </c>
      <c r="B96" s="43">
        <v>75158.291056571994</v>
      </c>
      <c r="C96" s="43">
        <v>29375.401109940998</v>
      </c>
      <c r="D96" s="43">
        <v>3008.948118888</v>
      </c>
      <c r="E96" s="43">
        <v>311.25169852990001</v>
      </c>
      <c r="F96" s="100">
        <v>38685.697100992998</v>
      </c>
    </row>
    <row r="97" spans="1:6" ht="15.75" customHeight="1">
      <c r="A97" s="21">
        <v>42867</v>
      </c>
      <c r="B97" s="43">
        <v>72498.206487699994</v>
      </c>
      <c r="C97" s="43">
        <v>29375.401109940998</v>
      </c>
      <c r="D97" s="43">
        <v>3008.948118888</v>
      </c>
      <c r="E97" s="43">
        <v>389.20089798660001</v>
      </c>
      <c r="F97" s="100">
        <v>27794.613148930999</v>
      </c>
    </row>
    <row r="98" spans="1:6" ht="15.75" customHeight="1">
      <c r="A98" s="21">
        <v>42870</v>
      </c>
      <c r="B98" s="43">
        <v>39546.953990094997</v>
      </c>
      <c r="C98" s="43">
        <v>15916.899469479999</v>
      </c>
      <c r="D98" s="43">
        <v>4633.3440236500001</v>
      </c>
      <c r="E98" s="43">
        <v>184.24356235219997</v>
      </c>
      <c r="F98" s="43">
        <v>18533.3760946</v>
      </c>
    </row>
    <row r="99" spans="1:6" ht="15.75" customHeight="1">
      <c r="A99" s="21">
        <v>42871</v>
      </c>
      <c r="B99" s="43">
        <v>41231.310817515994</v>
      </c>
      <c r="C99" s="43">
        <v>38156.950783</v>
      </c>
      <c r="D99" s="43">
        <v>4813.2267916269993</v>
      </c>
      <c r="E99" s="43">
        <v>310.70659923299996</v>
      </c>
      <c r="F99" s="43">
        <v>16031.370321828999</v>
      </c>
    </row>
    <row r="100" spans="1:6" ht="15.75" customHeight="1">
      <c r="A100" s="21">
        <v>42872</v>
      </c>
      <c r="B100" s="43">
        <v>30934.385099074996</v>
      </c>
      <c r="C100" s="43">
        <v>26709.865548099999</v>
      </c>
      <c r="D100" s="43">
        <v>4796.8738127199995</v>
      </c>
      <c r="E100" s="43">
        <v>310.70659923299996</v>
      </c>
      <c r="F100" s="100">
        <v>16761.803379674999</v>
      </c>
    </row>
    <row r="101" spans="1:6" ht="15.75" customHeight="1">
      <c r="A101" s="21">
        <v>42873</v>
      </c>
      <c r="B101" s="43">
        <v>46175.361440399</v>
      </c>
      <c r="C101" s="43">
        <v>17317.804662512997</v>
      </c>
      <c r="D101" s="43">
        <v>4480.7162205179993</v>
      </c>
      <c r="E101" s="43">
        <v>276.3653435283</v>
      </c>
      <c r="F101" s="100">
        <v>19607.221709492998</v>
      </c>
    </row>
    <row r="102" spans="1:6" ht="15.75" customHeight="1">
      <c r="A102" s="21">
        <v>42874</v>
      </c>
      <c r="B102" s="43">
        <v>70835.653632154994</v>
      </c>
      <c r="C102" s="43">
        <v>20152.321006392998</v>
      </c>
      <c r="D102" s="43">
        <v>4813.2267916269993</v>
      </c>
      <c r="E102" s="43">
        <v>276.3653435283</v>
      </c>
      <c r="F102" s="100">
        <v>23330.249907319998</v>
      </c>
    </row>
    <row r="103" spans="1:6" ht="15.75" customHeight="1">
      <c r="A103" s="21">
        <v>42877</v>
      </c>
      <c r="B103" s="43">
        <v>55572.873318954997</v>
      </c>
      <c r="C103" s="43">
        <v>38511.265325984998</v>
      </c>
      <c r="D103" s="43">
        <v>3930.1659306489996</v>
      </c>
      <c r="E103" s="43">
        <v>311.25169852990001</v>
      </c>
      <c r="F103" s="43">
        <v>33523.606759349997</v>
      </c>
    </row>
    <row r="104" spans="1:6" ht="15.75" customHeight="1">
      <c r="A104" s="21">
        <v>42878</v>
      </c>
      <c r="B104" s="43">
        <v>72672.638262708002</v>
      </c>
      <c r="C104" s="43">
        <v>34341.255704700001</v>
      </c>
      <c r="D104" s="43">
        <v>4268.1274947269994</v>
      </c>
      <c r="E104" s="43">
        <v>348.86355001599998</v>
      </c>
      <c r="F104" s="43">
        <v>34673.766275809001</v>
      </c>
    </row>
    <row r="105" spans="1:6" ht="15.75" customHeight="1">
      <c r="A105" s="21">
        <v>42879</v>
      </c>
      <c r="B105" s="43">
        <v>72672.638262708002</v>
      </c>
      <c r="C105" s="43">
        <v>73097.815714290002</v>
      </c>
      <c r="D105" s="43">
        <v>4813.2267916269993</v>
      </c>
      <c r="E105" s="43">
        <v>310.70659923299996</v>
      </c>
      <c r="F105" s="100">
        <v>35060.786776607994</v>
      </c>
    </row>
    <row r="106" spans="1:6" ht="15.75" customHeight="1">
      <c r="A106" s="21">
        <v>42880</v>
      </c>
      <c r="B106" s="43">
        <v>56624.914961971997</v>
      </c>
      <c r="C106" s="43">
        <v>34641.060317994998</v>
      </c>
      <c r="D106" s="43">
        <v>4796.8738127199995</v>
      </c>
      <c r="E106" s="43">
        <v>310.70659923299996</v>
      </c>
      <c r="F106" s="43">
        <v>27794.613148930999</v>
      </c>
    </row>
    <row r="107" spans="1:6" ht="15.75" customHeight="1">
      <c r="A107" s="21">
        <v>42881</v>
      </c>
      <c r="B107" s="43">
        <v>51375.608732825</v>
      </c>
      <c r="C107" s="43">
        <v>24093.388922979997</v>
      </c>
      <c r="D107" s="43">
        <v>4627.8930306809998</v>
      </c>
      <c r="E107" s="43">
        <v>389.20089798660001</v>
      </c>
      <c r="F107" s="100">
        <v>22785.150610419998</v>
      </c>
    </row>
    <row r="108" spans="1:6" ht="15.75" customHeight="1">
      <c r="A108" s="21">
        <v>42884</v>
      </c>
      <c r="B108" s="43">
        <v>42517.745158199999</v>
      </c>
      <c r="C108" s="43">
        <v>29326.342173219997</v>
      </c>
      <c r="D108" s="43">
        <v>4627.8930306809998</v>
      </c>
      <c r="E108" s="43">
        <v>389.20089798660001</v>
      </c>
      <c r="F108" s="100">
        <v>18533.3760946</v>
      </c>
    </row>
    <row r="109" spans="1:6" ht="15.75" customHeight="1">
      <c r="A109" s="21">
        <v>42885</v>
      </c>
      <c r="B109" s="43">
        <v>37862.597162673999</v>
      </c>
      <c r="C109" s="43">
        <v>34673.766275809001</v>
      </c>
      <c r="D109" s="43">
        <v>4268.1274947269994</v>
      </c>
      <c r="E109" s="43">
        <v>389.20089798660001</v>
      </c>
      <c r="F109" s="43">
        <v>16789.058344519999</v>
      </c>
    </row>
    <row r="110" spans="1:6" ht="15.75" customHeight="1">
      <c r="A110" s="21">
        <v>42886</v>
      </c>
      <c r="B110" s="43">
        <v>46175.361440399</v>
      </c>
      <c r="C110" s="43">
        <v>18249.924460211998</v>
      </c>
      <c r="D110" s="43">
        <v>4813.2267916269993</v>
      </c>
      <c r="E110" s="43">
        <v>389.20089798660001</v>
      </c>
      <c r="F110" s="43">
        <v>215.58677192394998</v>
      </c>
    </row>
    <row r="111" spans="1:6" ht="15.75" customHeight="1">
      <c r="A111" s="21">
        <v>42887</v>
      </c>
      <c r="B111" s="43">
        <v>37044.948217323996</v>
      </c>
      <c r="C111" s="43">
        <v>36957.732329819999</v>
      </c>
      <c r="D111" s="43">
        <v>4448.0102627039996</v>
      </c>
      <c r="E111" s="43">
        <v>387.02050079899999</v>
      </c>
      <c r="F111" s="43">
        <v>14630.465128795999</v>
      </c>
    </row>
    <row r="112" spans="1:6" ht="15.75" customHeight="1">
      <c r="A112" s="21">
        <v>42888</v>
      </c>
      <c r="B112" s="43">
        <v>33523.606759349997</v>
      </c>
      <c r="C112" s="43">
        <v>32814.977673379995</v>
      </c>
      <c r="D112" s="43">
        <v>4099.1467126879998</v>
      </c>
      <c r="E112" s="43">
        <v>348.86355001599998</v>
      </c>
      <c r="F112" s="43">
        <v>15317.29024289</v>
      </c>
    </row>
    <row r="113" spans="1:6" ht="15.75" customHeight="1">
      <c r="A113" s="21">
        <v>42891</v>
      </c>
      <c r="B113" s="43">
        <v>25821.353694152996</v>
      </c>
      <c r="C113" s="43">
        <v>22621.620821349999</v>
      </c>
      <c r="D113" s="43">
        <v>3603.1063525089999</v>
      </c>
      <c r="E113" s="43">
        <v>311.25169852990001</v>
      </c>
      <c r="F113" s="100">
        <v>11256.300480984999</v>
      </c>
    </row>
    <row r="114" spans="1:6" ht="15.75" customHeight="1">
      <c r="A114" s="21">
        <v>42892</v>
      </c>
      <c r="B114" s="43">
        <v>22785.150610419998</v>
      </c>
      <c r="C114" s="43">
        <v>21098.068286514499</v>
      </c>
      <c r="D114" s="43">
        <v>3297.8507462449998</v>
      </c>
      <c r="E114" s="43">
        <v>311.25169852990001</v>
      </c>
      <c r="F114" s="100">
        <v>10127.944936402</v>
      </c>
    </row>
    <row r="115" spans="1:6" ht="15.75" customHeight="1">
      <c r="A115" s="21">
        <v>42893</v>
      </c>
      <c r="B115" s="43">
        <v>21275.225558006998</v>
      </c>
      <c r="C115" s="43">
        <v>11215.418033717498</v>
      </c>
      <c r="D115" s="43">
        <v>3297.8507462449998</v>
      </c>
      <c r="E115" s="43">
        <v>348.86355001599998</v>
      </c>
      <c r="F115" s="100">
        <v>16031.370321828999</v>
      </c>
    </row>
    <row r="116" spans="1:6" ht="15.75" customHeight="1">
      <c r="A116" s="21">
        <v>42894</v>
      </c>
      <c r="B116" s="43">
        <v>18315.336375839997</v>
      </c>
      <c r="C116" s="43">
        <v>10356.8866411</v>
      </c>
      <c r="D116" s="43">
        <v>2867.2223016939997</v>
      </c>
      <c r="E116" s="43">
        <v>276.3653435283</v>
      </c>
      <c r="F116" s="43">
        <v>9539.2376957500001</v>
      </c>
    </row>
    <row r="117" spans="1:6" ht="15.75" customHeight="1">
      <c r="A117" s="21">
        <v>42895</v>
      </c>
      <c r="B117" s="43">
        <v>20152.321006392998</v>
      </c>
      <c r="C117" s="43">
        <v>20632.008387664999</v>
      </c>
      <c r="D117" s="43">
        <v>2867.2223016939997</v>
      </c>
      <c r="E117" s="43">
        <v>310.70659923299996</v>
      </c>
      <c r="F117" s="100">
        <v>9293.9430121449986</v>
      </c>
    </row>
    <row r="118" spans="1:6" ht="15.75" customHeight="1">
      <c r="A118" s="21">
        <v>42898</v>
      </c>
      <c r="B118" s="43">
        <v>21558.677192395</v>
      </c>
      <c r="C118" s="43">
        <v>11610.61502397</v>
      </c>
      <c r="D118" s="43">
        <v>2605.5746391819998</v>
      </c>
      <c r="E118" s="43">
        <v>311.25169852990001</v>
      </c>
      <c r="F118" s="100">
        <v>9059.5503144779996</v>
      </c>
    </row>
    <row r="119" spans="1:6" ht="15.75" customHeight="1">
      <c r="A119" s="21">
        <v>42899</v>
      </c>
      <c r="B119" s="43">
        <v>17007.098063279998</v>
      </c>
      <c r="C119" s="43">
        <v>11212.692537232999</v>
      </c>
      <c r="D119" s="43">
        <v>2474.7508079259997</v>
      </c>
      <c r="E119" s="43">
        <v>311.25169852990001</v>
      </c>
      <c r="F119" s="43">
        <v>9059.5503144779996</v>
      </c>
    </row>
    <row r="120" spans="1:6" ht="15.75" customHeight="1">
      <c r="A120" s="21">
        <v>42900</v>
      </c>
      <c r="B120" s="43">
        <v>16789.058344519999</v>
      </c>
      <c r="C120" s="43">
        <v>10629.43628955</v>
      </c>
      <c r="D120" s="43">
        <v>2234.9071172899999</v>
      </c>
      <c r="E120" s="43">
        <v>310.70659923299996</v>
      </c>
      <c r="F120" s="43">
        <v>6988.1729862579996</v>
      </c>
    </row>
    <row r="121" spans="1:6" ht="15.75" customHeight="1">
      <c r="A121" s="21">
        <v>42901</v>
      </c>
      <c r="B121" s="43">
        <v>13900.032070949999</v>
      </c>
      <c r="C121" s="43">
        <v>8721.5887504000002</v>
      </c>
      <c r="D121" s="43">
        <v>2234.9071172899999</v>
      </c>
      <c r="E121" s="43">
        <v>276.3653435283</v>
      </c>
      <c r="F121" s="100">
        <v>6541.1915627999997</v>
      </c>
    </row>
    <row r="122" spans="1:6" ht="15.75" customHeight="1">
      <c r="A122" s="21">
        <v>42902</v>
      </c>
      <c r="B122" s="43">
        <v>13273.167879514998</v>
      </c>
      <c r="C122" s="43">
        <v>8721.5887504000002</v>
      </c>
      <c r="D122" s="43">
        <v>2120.436264941</v>
      </c>
      <c r="E122" s="43">
        <v>310.70659923299996</v>
      </c>
      <c r="F122" s="43">
        <v>6459.4266682649995</v>
      </c>
    </row>
    <row r="123" spans="1:6" ht="15.75" customHeight="1">
      <c r="A123" s="21">
        <v>42905</v>
      </c>
      <c r="B123" s="43">
        <v>14063.56186002</v>
      </c>
      <c r="C123" s="43">
        <v>11212.692537232999</v>
      </c>
      <c r="D123" s="43">
        <v>1795.0119846917</v>
      </c>
      <c r="E123" s="43">
        <v>311.25169852990001</v>
      </c>
      <c r="F123" s="100">
        <v>5217.1453706298998</v>
      </c>
    </row>
    <row r="124" spans="1:6" ht="15.75" customHeight="1">
      <c r="A124" s="21">
        <v>42906</v>
      </c>
      <c r="B124" s="43">
        <v>14063.56186002</v>
      </c>
      <c r="C124" s="43">
        <v>11212.692537232999</v>
      </c>
      <c r="D124" s="43">
        <v>1596.5958406200998</v>
      </c>
      <c r="E124" s="43">
        <v>311.25169852990001</v>
      </c>
      <c r="F124" s="43">
        <v>4497.0691994250001</v>
      </c>
    </row>
    <row r="125" spans="1:6" ht="15.75" customHeight="1">
      <c r="A125" s="21">
        <v>42907</v>
      </c>
      <c r="B125" s="43">
        <v>12537.2838287</v>
      </c>
      <c r="C125" s="43">
        <v>7631.3901565999995</v>
      </c>
      <c r="D125" s="43">
        <v>1795.0119846917</v>
      </c>
      <c r="E125" s="43">
        <v>389.20089798660001</v>
      </c>
      <c r="F125" s="100">
        <v>4142.75465644</v>
      </c>
    </row>
    <row r="126" spans="1:6" ht="15.75" customHeight="1">
      <c r="A126" s="21">
        <v>42908</v>
      </c>
      <c r="B126" s="43">
        <v>11256.300480984999</v>
      </c>
      <c r="C126" s="43">
        <v>7631.3901565999995</v>
      </c>
      <c r="D126" s="43">
        <v>1591.6899469479999</v>
      </c>
      <c r="E126" s="43">
        <v>389.20089798660001</v>
      </c>
      <c r="F126" s="43">
        <v>3461.3805353149996</v>
      </c>
    </row>
    <row r="127" spans="1:6" ht="15.75" customHeight="1">
      <c r="A127" s="21">
        <v>42909</v>
      </c>
      <c r="B127" s="43">
        <v>8994.1383988500002</v>
      </c>
      <c r="C127" s="43">
        <v>5380.1300604029993</v>
      </c>
      <c r="D127" s="43">
        <v>1795.0119846917</v>
      </c>
      <c r="E127" s="43">
        <v>370.66752189199997</v>
      </c>
      <c r="F127" s="43">
        <v>3515.8904650049999</v>
      </c>
    </row>
    <row r="128" spans="1:6" ht="15.75" customHeight="1">
      <c r="A128" s="21">
        <v>42912</v>
      </c>
      <c r="B128" s="43">
        <v>6988.1729862579996</v>
      </c>
      <c r="C128" s="43">
        <v>7386.0954729949999</v>
      </c>
      <c r="D128" s="43">
        <v>1411.807178971</v>
      </c>
      <c r="E128" s="43">
        <v>267.09865548099998</v>
      </c>
      <c r="F128" s="100">
        <v>2360.2799555769998</v>
      </c>
    </row>
    <row r="129" spans="1:6" ht="15.75" customHeight="1">
      <c r="A129" s="21">
        <v>42913</v>
      </c>
      <c r="B129" s="43">
        <v>7751.3120019179996</v>
      </c>
      <c r="C129" s="43">
        <v>3848.4010361139999</v>
      </c>
      <c r="D129" s="43">
        <v>1635.2978906999999</v>
      </c>
      <c r="E129" s="43">
        <v>389.20089798660001</v>
      </c>
      <c r="F129" s="100">
        <v>3048.1952682648002</v>
      </c>
    </row>
    <row r="130" spans="1:6" ht="15.75" customHeight="1">
      <c r="A130" s="21">
        <v>42914</v>
      </c>
      <c r="B130" s="43">
        <v>7440.6054026849997</v>
      </c>
      <c r="C130" s="43">
        <v>6034.2492166829998</v>
      </c>
      <c r="D130" s="43">
        <v>1412.3522782678999</v>
      </c>
      <c r="E130" s="43">
        <v>389.20089798660001</v>
      </c>
      <c r="F130" s="100">
        <v>2606.6648377757997</v>
      </c>
    </row>
    <row r="131" spans="1:6" ht="15.75" customHeight="1">
      <c r="A131" s="21">
        <v>42915</v>
      </c>
      <c r="B131" s="43">
        <v>5641.7777229149997</v>
      </c>
      <c r="C131" s="43">
        <v>4442.5592697349994</v>
      </c>
      <c r="D131" s="43">
        <v>1324.591291467</v>
      </c>
      <c r="E131" s="43">
        <v>311.25169852990001</v>
      </c>
      <c r="F131" s="100">
        <v>2071.37732822</v>
      </c>
    </row>
    <row r="132" spans="1:6" ht="15.75" customHeight="1">
      <c r="A132" s="21">
        <v>42916</v>
      </c>
      <c r="B132" s="43">
        <v>5232.9532502399998</v>
      </c>
      <c r="C132" s="43">
        <v>4442.5592697349994</v>
      </c>
      <c r="D132" s="43">
        <v>1242.8263969319999</v>
      </c>
      <c r="E132" s="43">
        <v>311.25169852990001</v>
      </c>
      <c r="F132" s="100">
        <v>1853.3376094599998</v>
      </c>
    </row>
    <row r="133" spans="1:6" ht="15.75" customHeight="1">
      <c r="A133" s="21">
        <v>42919</v>
      </c>
      <c r="B133" s="43">
        <v>4497.0691994250001</v>
      </c>
      <c r="C133" s="43">
        <v>3979.2248673699996</v>
      </c>
      <c r="D133" s="43">
        <v>1084.747600831</v>
      </c>
      <c r="E133" s="43">
        <v>310.70659923299996</v>
      </c>
      <c r="F133" s="100">
        <v>1771.5727149249999</v>
      </c>
    </row>
    <row r="134" spans="1:6" ht="15.75" customHeight="1">
      <c r="A134" s="21">
        <v>42920</v>
      </c>
      <c r="B134" s="43">
        <v>4159.1076353469998</v>
      </c>
      <c r="C134" s="43">
        <v>4006.4798322149995</v>
      </c>
      <c r="D134" s="43">
        <v>1084.747600831</v>
      </c>
      <c r="E134" s="43">
        <v>310.70659923299996</v>
      </c>
      <c r="F134" s="100">
        <v>1662.5528555449998</v>
      </c>
    </row>
    <row r="135" spans="1:6" ht="15.75" customHeight="1">
      <c r="A135" s="21">
        <v>42921</v>
      </c>
      <c r="B135" s="43">
        <v>3943.2483137745994</v>
      </c>
      <c r="C135" s="43">
        <v>3573.1258911794998</v>
      </c>
      <c r="D135" s="43">
        <v>1325.6814900607999</v>
      </c>
      <c r="E135" s="43">
        <v>348.86355001599998</v>
      </c>
      <c r="F135" s="100">
        <v>1907.8475391499999</v>
      </c>
    </row>
    <row r="136" spans="1:6" ht="15.75" customHeight="1">
      <c r="A136" s="21">
        <v>42922</v>
      </c>
      <c r="B136" s="43">
        <v>4497.0691994250001</v>
      </c>
      <c r="C136" s="43">
        <v>96.809635129439997</v>
      </c>
      <c r="D136" s="43">
        <v>1084.2025015341001</v>
      </c>
      <c r="E136" s="43">
        <v>311.25169852990001</v>
      </c>
      <c r="F136" s="100">
        <v>1701.8000049217999</v>
      </c>
    </row>
    <row r="137" spans="1:6" ht="15.75" customHeight="1">
      <c r="A137" s="21">
        <v>42923</v>
      </c>
      <c r="B137" s="43">
        <v>3761.1851486099999</v>
      </c>
      <c r="C137" s="43">
        <v>3543.1454298499998</v>
      </c>
      <c r="D137" s="43">
        <v>1084.747600831</v>
      </c>
      <c r="E137" s="43">
        <v>310.70659923299996</v>
      </c>
      <c r="F137" s="100">
        <v>1689.80782039</v>
      </c>
    </row>
    <row r="138" spans="1:6" ht="15.75" customHeight="1">
      <c r="A138" s="21">
        <v>42926</v>
      </c>
      <c r="B138" s="43">
        <v>3434.1255704699997</v>
      </c>
      <c r="C138" s="43">
        <v>2752.7514493449999</v>
      </c>
      <c r="D138" s="43">
        <v>1161.0615023969999</v>
      </c>
      <c r="E138" s="43">
        <v>310.70659923299996</v>
      </c>
      <c r="F138" s="100">
        <v>1449.9641297539999</v>
      </c>
    </row>
    <row r="139" spans="1:6" ht="15.75" customHeight="1">
      <c r="A139" s="21">
        <v>42927</v>
      </c>
      <c r="B139" s="43">
        <v>3139.7719501439997</v>
      </c>
      <c r="C139" s="43">
        <v>3107.06599233</v>
      </c>
      <c r="D139" s="43">
        <v>1084.747600831</v>
      </c>
      <c r="E139" s="43">
        <v>348.86355001599998</v>
      </c>
      <c r="F139" s="100">
        <v>1280.9833477149998</v>
      </c>
    </row>
    <row r="140" spans="1:6" ht="15.75" customHeight="1">
      <c r="A140" s="21">
        <v>42928</v>
      </c>
      <c r="B140" s="43">
        <v>3330.5567040589999</v>
      </c>
      <c r="C140" s="43">
        <v>3041.6540767019997</v>
      </c>
      <c r="D140" s="43">
        <v>1084.2025015341001</v>
      </c>
      <c r="E140" s="43">
        <v>389.20089798660001</v>
      </c>
      <c r="F140" s="100">
        <v>1280.9833477149998</v>
      </c>
    </row>
    <row r="141" spans="1:6" ht="15.75" customHeight="1">
      <c r="A141" s="21">
        <v>42929</v>
      </c>
      <c r="B141" s="43">
        <v>3048.1952682648002</v>
      </c>
      <c r="C141" s="43">
        <v>2262.1620821349998</v>
      </c>
      <c r="D141" s="43">
        <v>1084.2025015341001</v>
      </c>
      <c r="E141" s="43">
        <v>364.67142962610001</v>
      </c>
      <c r="F141" s="100">
        <v>1056.9475366890999</v>
      </c>
    </row>
    <row r="142" spans="1:6" ht="15.75" customHeight="1">
      <c r="A142" s="21">
        <v>42930</v>
      </c>
      <c r="B142" s="43">
        <v>2866.6772023970998</v>
      </c>
      <c r="C142" s="43">
        <v>1580.2428617130997</v>
      </c>
      <c r="D142" s="43">
        <v>1068.9397212208999</v>
      </c>
      <c r="E142" s="43">
        <v>364.67142962610001</v>
      </c>
      <c r="F142" s="100">
        <v>1108.7319698946001</v>
      </c>
    </row>
    <row r="143" spans="1:6" ht="15.75" customHeight="1">
      <c r="A143" s="21">
        <v>42933</v>
      </c>
      <c r="B143" s="43">
        <v>2605.5746391819998</v>
      </c>
      <c r="C143" s="43">
        <v>1907.8475391499999</v>
      </c>
      <c r="D143" s="43">
        <v>1008.433699265</v>
      </c>
      <c r="E143" s="43">
        <v>310.70659923299996</v>
      </c>
      <c r="F143" s="100">
        <v>1035.68866411</v>
      </c>
    </row>
    <row r="144" spans="1:6" ht="15.75" customHeight="1">
      <c r="A144" s="21">
        <v>42934</v>
      </c>
      <c r="B144" s="43">
        <v>2343.9269766699999</v>
      </c>
      <c r="C144" s="43">
        <v>2016.8673985299999</v>
      </c>
      <c r="D144" s="43">
        <v>1008.433699265</v>
      </c>
      <c r="E144" s="43">
        <v>348.86355001599998</v>
      </c>
      <c r="F144" s="100">
        <v>1019.3356852029999</v>
      </c>
    </row>
    <row r="145" spans="1:6" ht="15.75" customHeight="1">
      <c r="A145" s="21">
        <v>42935</v>
      </c>
      <c r="B145" s="43">
        <v>2561.9666954299996</v>
      </c>
      <c r="C145" s="43">
        <v>2262.1620821349998</v>
      </c>
      <c r="D145" s="43">
        <v>937.57079066799997</v>
      </c>
      <c r="E145" s="43">
        <v>218.03971875999997</v>
      </c>
      <c r="F145" s="100">
        <v>926.66880472999992</v>
      </c>
    </row>
    <row r="146" spans="1:6" ht="15.75" customHeight="1">
      <c r="A146" s="21">
        <v>42936</v>
      </c>
      <c r="B146" s="43">
        <v>2480.2018008949999</v>
      </c>
      <c r="C146" s="43">
        <v>2262.1620821349998</v>
      </c>
      <c r="D146" s="43">
        <v>937.57079066799997</v>
      </c>
      <c r="E146" s="43">
        <v>218.03971875999997</v>
      </c>
      <c r="F146" s="43">
        <v>926.66880472999992</v>
      </c>
    </row>
    <row r="147" spans="1:6" ht="15.75" customHeight="1">
      <c r="A147" s="21">
        <v>42937</v>
      </c>
      <c r="B147" s="43">
        <v>2127.5225558007</v>
      </c>
      <c r="C147" s="43">
        <v>2029.4046823587</v>
      </c>
      <c r="D147" s="43">
        <v>685.18981620329998</v>
      </c>
      <c r="E147" s="43">
        <v>212.58872579099997</v>
      </c>
      <c r="F147" s="100">
        <v>819.28424324069999</v>
      </c>
    </row>
    <row r="148" spans="1:6" ht="15.75" customHeight="1">
      <c r="A148" s="21">
        <v>42940</v>
      </c>
      <c r="B148" s="43">
        <v>1984.1614407159998</v>
      </c>
      <c r="C148" s="43">
        <v>1226.473418025</v>
      </c>
      <c r="D148" s="43">
        <v>686.8251140939999</v>
      </c>
      <c r="E148" s="43">
        <v>212.58872579099997</v>
      </c>
      <c r="F148" s="43">
        <v>817.64894534999996</v>
      </c>
    </row>
    <row r="149" spans="1:6" ht="15.75" customHeight="1">
      <c r="A149" s="21">
        <v>42941</v>
      </c>
      <c r="B149" s="43">
        <v>2343.9269766699999</v>
      </c>
      <c r="C149" s="43">
        <v>1335.4932774049998</v>
      </c>
      <c r="D149" s="43">
        <v>872.15887503999988</v>
      </c>
      <c r="E149" s="43">
        <v>185.33376094599998</v>
      </c>
      <c r="F149" s="100">
        <v>790.39398050499994</v>
      </c>
    </row>
    <row r="150" spans="1:6" ht="15.75" customHeight="1">
      <c r="A150" s="21">
        <v>42942</v>
      </c>
      <c r="B150" s="43">
        <v>1880.592574305</v>
      </c>
      <c r="C150" s="43">
        <v>1580.7879610099999</v>
      </c>
      <c r="D150" s="43">
        <v>871.06867644620002</v>
      </c>
      <c r="E150" s="43">
        <v>212.58872579099997</v>
      </c>
      <c r="F150" s="100">
        <v>844.90391019499998</v>
      </c>
    </row>
    <row r="151" spans="1:6" ht="15.75" customHeight="1">
      <c r="A151" s="21">
        <v>42943</v>
      </c>
      <c r="B151" s="43">
        <v>1689.80782039</v>
      </c>
      <c r="C151" s="43">
        <v>1580.7879610099999</v>
      </c>
      <c r="D151" s="43">
        <v>806.74695941199991</v>
      </c>
      <c r="E151" s="43">
        <v>212.58872579099997</v>
      </c>
      <c r="F151" s="43">
        <v>817.64894534999996</v>
      </c>
    </row>
    <row r="152" spans="1:6" ht="15.75" customHeight="1">
      <c r="A152" s="21">
        <v>42944</v>
      </c>
      <c r="B152" s="43">
        <v>1668.0038485139999</v>
      </c>
      <c r="C152" s="43">
        <v>1580.7879610099999</v>
      </c>
      <c r="D152" s="43">
        <v>746.78603675299996</v>
      </c>
      <c r="E152" s="43">
        <v>212.58872579099997</v>
      </c>
      <c r="F152" s="100">
        <v>670.47213518699994</v>
      </c>
    </row>
    <row r="153" spans="1:6" ht="15.75" customHeight="1">
      <c r="A153" s="21">
        <v>42947</v>
      </c>
      <c r="B153" s="43">
        <v>1701.8000049217999</v>
      </c>
      <c r="C153" s="43">
        <v>1364.9286394375999</v>
      </c>
      <c r="D153" s="43">
        <v>685.18981620329998</v>
      </c>
      <c r="E153" s="43">
        <v>134.6395263343</v>
      </c>
      <c r="F153" s="100">
        <v>473.63677907640999</v>
      </c>
    </row>
    <row r="154" spans="1:6" ht="15.75" customHeight="1">
      <c r="A154" s="21">
        <v>42948</v>
      </c>
      <c r="B154" s="43">
        <v>1701.8000049217999</v>
      </c>
      <c r="C154" s="43">
        <v>1364.9286394375999</v>
      </c>
      <c r="D154" s="43">
        <v>476.96188478749997</v>
      </c>
      <c r="E154" s="43">
        <v>134.6395263343</v>
      </c>
      <c r="F154" s="100">
        <v>577.26015541710001</v>
      </c>
    </row>
    <row r="155" spans="1:6" ht="15.75" customHeight="1">
      <c r="A155" s="21">
        <v>42949</v>
      </c>
      <c r="B155" s="43">
        <v>1572.0663722595998</v>
      </c>
      <c r="C155" s="43">
        <v>980.08853582619997</v>
      </c>
      <c r="D155" s="43">
        <v>806.20186011509998</v>
      </c>
      <c r="E155" s="43">
        <v>148.8121080537</v>
      </c>
      <c r="F155" s="100">
        <v>577.26015541710001</v>
      </c>
    </row>
    <row r="156" spans="1:6" ht="15.75" customHeight="1">
      <c r="A156" s="21">
        <v>42950</v>
      </c>
      <c r="B156" s="43">
        <v>1471.7681016299998</v>
      </c>
      <c r="C156" s="43">
        <v>812.19795238099994</v>
      </c>
      <c r="D156" s="43">
        <v>746.78603675299996</v>
      </c>
      <c r="E156" s="43">
        <v>179.88276797699999</v>
      </c>
      <c r="F156" s="100">
        <v>408.82447267499998</v>
      </c>
    </row>
    <row r="157" spans="1:6" ht="15.75" customHeight="1">
      <c r="A157" s="21">
        <v>42951</v>
      </c>
      <c r="B157" s="43">
        <v>1106.5515727069999</v>
      </c>
      <c r="C157" s="43">
        <v>1444.5131367849999</v>
      </c>
      <c r="D157" s="43">
        <v>692.27610706299993</v>
      </c>
      <c r="E157" s="43">
        <v>185.33376094599998</v>
      </c>
      <c r="F157" s="100">
        <v>408.82447267499998</v>
      </c>
    </row>
    <row r="158" spans="1:6" ht="15.75" customHeight="1">
      <c r="A158" s="21">
        <v>42954</v>
      </c>
      <c r="B158" s="43">
        <v>1508.8348538191999</v>
      </c>
      <c r="C158" s="43">
        <v>648.66816331099994</v>
      </c>
      <c r="D158" s="43">
        <v>720.62127050179993</v>
      </c>
      <c r="E158" s="43">
        <v>179.88276797699999</v>
      </c>
      <c r="F158" s="100">
        <v>473.63677907640999</v>
      </c>
    </row>
    <row r="159" spans="1:6" ht="15.75" customHeight="1">
      <c r="A159" s="21">
        <v>42955</v>
      </c>
      <c r="B159" s="43">
        <v>1335.4932774049998</v>
      </c>
      <c r="C159" s="43">
        <v>708.62908597000001</v>
      </c>
      <c r="D159" s="43">
        <v>626.86419143499995</v>
      </c>
      <c r="E159" s="43">
        <v>125.37283828699999</v>
      </c>
      <c r="F159" s="100">
        <v>392.47149376799996</v>
      </c>
    </row>
    <row r="160" spans="1:6" ht="15.75" customHeight="1">
      <c r="A160" s="21">
        <v>42956</v>
      </c>
      <c r="B160" s="43">
        <v>1328.9520858421999</v>
      </c>
      <c r="C160" s="43">
        <v>648.66816331099994</v>
      </c>
      <c r="D160" s="43">
        <v>744.60563956539988</v>
      </c>
      <c r="E160" s="43">
        <v>134.6395263343</v>
      </c>
      <c r="F160" s="100">
        <v>506.99685604668997</v>
      </c>
    </row>
    <row r="161" spans="1:6" ht="15.75" customHeight="1">
      <c r="A161" s="21">
        <v>42957</v>
      </c>
      <c r="B161" s="43">
        <v>1280.9833477149998</v>
      </c>
      <c r="C161" s="43">
        <v>790.39398050499994</v>
      </c>
      <c r="D161" s="43">
        <v>686.8251140939999</v>
      </c>
      <c r="E161" s="43">
        <v>136.274824225</v>
      </c>
      <c r="F161" s="100">
        <v>463.33440236499996</v>
      </c>
    </row>
    <row r="162" spans="1:6" ht="15.75" customHeight="1">
      <c r="A162" s="21">
        <v>42958</v>
      </c>
      <c r="B162" s="43">
        <v>1226.473418025</v>
      </c>
      <c r="C162" s="43">
        <v>681.37412112499999</v>
      </c>
      <c r="D162" s="43">
        <v>686.8251140939999</v>
      </c>
      <c r="E162" s="43">
        <v>114.470852349</v>
      </c>
      <c r="F162" s="100">
        <v>457.88340939599999</v>
      </c>
    </row>
    <row r="163" spans="1:6" ht="15.75" customHeight="1">
      <c r="A163" s="21">
        <v>42961</v>
      </c>
      <c r="B163" s="43">
        <v>1216.1165313838999</v>
      </c>
      <c r="C163" s="43">
        <v>509.66784260149996</v>
      </c>
      <c r="D163" s="43">
        <v>639.94657456059997</v>
      </c>
      <c r="E163" s="43">
        <v>130.27873195909999</v>
      </c>
      <c r="F163" s="100">
        <v>441.53043048899997</v>
      </c>
    </row>
    <row r="164" spans="1:6" ht="15.75" customHeight="1">
      <c r="A164" s="21">
        <v>42962</v>
      </c>
      <c r="B164" s="43">
        <v>1161.6066016938998</v>
      </c>
      <c r="C164" s="43">
        <v>509.66784260149996</v>
      </c>
      <c r="D164" s="43">
        <v>639.94657456059997</v>
      </c>
      <c r="E164" s="43">
        <v>121.5571432087</v>
      </c>
      <c r="F164" s="100">
        <v>380.86087874403</v>
      </c>
    </row>
    <row r="165" spans="1:6" ht="15.75" customHeight="1">
      <c r="A165" s="21">
        <v>42963</v>
      </c>
      <c r="B165" s="43">
        <v>1106.5515727069999</v>
      </c>
      <c r="C165" s="43">
        <v>970.2767484819999</v>
      </c>
      <c r="D165" s="43">
        <v>524.93062291469994</v>
      </c>
      <c r="E165" s="43">
        <v>158.62389539789999</v>
      </c>
      <c r="F165" s="100">
        <v>452.43241642699996</v>
      </c>
    </row>
    <row r="166" spans="1:6" ht="15.75" customHeight="1">
      <c r="A166" s="21">
        <v>42964</v>
      </c>
      <c r="B166" s="43">
        <v>1090.1985938</v>
      </c>
      <c r="C166" s="43">
        <v>970.2767484819999</v>
      </c>
      <c r="D166" s="43">
        <v>476.96188478749997</v>
      </c>
      <c r="E166" s="43">
        <v>143.90621438159999</v>
      </c>
      <c r="F166" s="100">
        <v>425.17745158199995</v>
      </c>
    </row>
    <row r="167" spans="1:6" ht="15.75" customHeight="1">
      <c r="A167" s="21">
        <v>42965</v>
      </c>
      <c r="B167" s="43">
        <v>1199.2184531799999</v>
      </c>
      <c r="C167" s="43">
        <v>817.64894534999996</v>
      </c>
      <c r="D167" s="43">
        <v>583.25624768299997</v>
      </c>
      <c r="E167" s="43">
        <v>158.07879610099999</v>
      </c>
      <c r="F167" s="100">
        <v>392.47149376799996</v>
      </c>
    </row>
    <row r="168" spans="1:6" ht="15.75" customHeight="1">
      <c r="A168" s="21">
        <v>42968</v>
      </c>
      <c r="B168" s="43">
        <v>937.57079066799997</v>
      </c>
      <c r="C168" s="43">
        <v>970.2767484819999</v>
      </c>
      <c r="D168" s="43">
        <v>572.35426174499992</v>
      </c>
      <c r="E168" s="43">
        <v>136.274824225</v>
      </c>
      <c r="F168" s="100">
        <v>305.25560626399999</v>
      </c>
    </row>
    <row r="169" spans="1:6" ht="15.75" customHeight="1">
      <c r="A169" s="21">
        <v>42969</v>
      </c>
      <c r="B169" s="43">
        <v>957.73946465329982</v>
      </c>
      <c r="C169" s="43">
        <v>648.66816331099994</v>
      </c>
      <c r="D169" s="43">
        <v>311.25169852990001</v>
      </c>
      <c r="E169" s="43">
        <v>134.6395263343</v>
      </c>
      <c r="F169" s="100">
        <v>352.35218551615998</v>
      </c>
    </row>
    <row r="170" spans="1:6" ht="15.75" customHeight="1">
      <c r="A170" s="21">
        <v>42970</v>
      </c>
      <c r="B170" s="43">
        <v>692.82120635989997</v>
      </c>
      <c r="C170" s="43">
        <v>648.66816331099994</v>
      </c>
      <c r="D170" s="43">
        <v>524.93062291469994</v>
      </c>
      <c r="E170" s="43">
        <v>134.6395263343</v>
      </c>
      <c r="F170" s="100">
        <v>273.80337683286996</v>
      </c>
    </row>
    <row r="171" spans="1:6" ht="15.75" customHeight="1">
      <c r="A171" s="21">
        <v>42971</v>
      </c>
      <c r="B171" s="43">
        <v>790.39398050499994</v>
      </c>
      <c r="C171" s="43">
        <v>463.33440236499996</v>
      </c>
      <c r="D171" s="43">
        <v>389.20089798660001</v>
      </c>
      <c r="E171" s="43">
        <v>134.6395263343</v>
      </c>
      <c r="F171" s="100">
        <v>310.70659923299996</v>
      </c>
    </row>
    <row r="172" spans="1:6" ht="15.75" customHeight="1">
      <c r="A172" s="21">
        <v>42972</v>
      </c>
      <c r="B172" s="43">
        <v>790.39398050499994</v>
      </c>
      <c r="C172" s="43">
        <v>463.33440236499996</v>
      </c>
      <c r="D172" s="43">
        <v>389.20089798660001</v>
      </c>
      <c r="E172" s="43">
        <v>134.6395263343</v>
      </c>
      <c r="F172" s="100">
        <v>310.70659923299996</v>
      </c>
    </row>
    <row r="173" spans="1:6" ht="15.75" customHeight="1">
      <c r="A173" s="21">
        <v>42975</v>
      </c>
      <c r="B173" s="43">
        <v>926.66880472999992</v>
      </c>
      <c r="C173" s="43">
        <v>708.62908597000001</v>
      </c>
      <c r="D173" s="43">
        <v>430.62844455099997</v>
      </c>
      <c r="E173" s="43">
        <v>134.6395263343</v>
      </c>
      <c r="F173" s="100">
        <v>272.54964845000001</v>
      </c>
    </row>
    <row r="174" spans="1:6" ht="15.75" customHeight="1">
      <c r="A174" s="21">
        <v>42976</v>
      </c>
      <c r="B174" s="43">
        <v>926.66880472999992</v>
      </c>
      <c r="C174" s="43">
        <v>490.58936720999998</v>
      </c>
      <c r="D174" s="43">
        <v>430.62844455099997</v>
      </c>
      <c r="E174" s="43">
        <v>158.62389539789999</v>
      </c>
      <c r="F174" s="100">
        <v>272.54964845000001</v>
      </c>
    </row>
    <row r="175" spans="1:6" ht="15.75" customHeight="1">
      <c r="A175" s="21">
        <v>42977</v>
      </c>
      <c r="B175" s="43">
        <v>675.92312815599996</v>
      </c>
      <c r="C175" s="43">
        <v>509.66784260149996</v>
      </c>
      <c r="D175" s="43">
        <v>431.71864314480001</v>
      </c>
      <c r="E175" s="43">
        <v>134.6395263343</v>
      </c>
      <c r="F175" s="100">
        <v>352.35218551615998</v>
      </c>
    </row>
    <row r="176" spans="1:6" ht="15.75" customHeight="1">
      <c r="A176" s="21">
        <v>42978</v>
      </c>
      <c r="B176" s="43">
        <v>957.73946465329982</v>
      </c>
      <c r="C176" s="43">
        <v>509.66784260149996</v>
      </c>
      <c r="D176" s="43">
        <v>431.71864314480001</v>
      </c>
      <c r="E176" s="43">
        <v>143.90621438159999</v>
      </c>
      <c r="F176" s="100">
        <v>298.82343456057998</v>
      </c>
    </row>
    <row r="177" spans="1:6" ht="15.75" customHeight="1">
      <c r="A177" s="21">
        <v>42979</v>
      </c>
      <c r="B177" s="43">
        <v>953.92376957499994</v>
      </c>
      <c r="C177" s="43">
        <v>370.66752189199997</v>
      </c>
      <c r="D177" s="43">
        <v>387.02050079899999</v>
      </c>
      <c r="E177" s="43">
        <v>130.82383125600001</v>
      </c>
      <c r="F177" s="100">
        <v>272.54964845000001</v>
      </c>
    </row>
    <row r="178" spans="1:6" ht="15.75" customHeight="1">
      <c r="A178" s="21">
        <v>42982</v>
      </c>
      <c r="B178" s="43">
        <v>872.15887503999988</v>
      </c>
      <c r="C178" s="43">
        <v>283.451634388</v>
      </c>
      <c r="D178" s="43">
        <v>348.86355001599998</v>
      </c>
      <c r="E178" s="43">
        <v>130.82383125600001</v>
      </c>
      <c r="F178" s="100">
        <v>234.39269766699999</v>
      </c>
    </row>
    <row r="179" spans="1:6" ht="15.75" customHeight="1">
      <c r="A179" s="21">
        <v>42983</v>
      </c>
      <c r="B179" s="43">
        <v>790.39398050499994</v>
      </c>
      <c r="C179" s="43">
        <v>681.37412112499999</v>
      </c>
      <c r="D179" s="43">
        <v>387.02050079899999</v>
      </c>
      <c r="E179" s="43">
        <v>158.07879610099999</v>
      </c>
      <c r="F179" s="100">
        <v>310.70659923299996</v>
      </c>
    </row>
    <row r="180" spans="1:6" ht="15.75" customHeight="1">
      <c r="A180" s="21">
        <v>42984</v>
      </c>
      <c r="B180" s="43">
        <v>790.39398050499994</v>
      </c>
      <c r="C180" s="43">
        <v>681.37412112499999</v>
      </c>
      <c r="D180" s="43">
        <v>392.47149376799996</v>
      </c>
      <c r="E180" s="43">
        <v>158.07879610099999</v>
      </c>
      <c r="F180" s="100">
        <v>310.70659923299996</v>
      </c>
    </row>
    <row r="181" spans="1:6" ht="15.75" customHeight="1">
      <c r="A181" s="21">
        <v>42985</v>
      </c>
      <c r="B181" s="43">
        <v>910.31582582299995</v>
      </c>
      <c r="C181" s="43">
        <v>370.66752189199997</v>
      </c>
      <c r="D181" s="43">
        <v>389.20089798660001</v>
      </c>
      <c r="E181" s="43">
        <v>158.62389539789999</v>
      </c>
      <c r="F181" s="100">
        <v>315.17641346758001</v>
      </c>
    </row>
    <row r="182" spans="1:6" ht="15.75" customHeight="1">
      <c r="A182" s="21">
        <v>42986</v>
      </c>
      <c r="B182" s="43">
        <v>910.31582582299995</v>
      </c>
      <c r="C182" s="43">
        <v>509.66784260149996</v>
      </c>
      <c r="D182" s="43">
        <v>389.20089798660001</v>
      </c>
      <c r="E182" s="43">
        <v>158.62389539789999</v>
      </c>
      <c r="F182" s="100">
        <v>249.92802762865</v>
      </c>
    </row>
    <row r="183" spans="1:6" ht="15.75" customHeight="1">
      <c r="A183" s="21">
        <v>42989</v>
      </c>
      <c r="B183" s="43">
        <v>910.31582582299995</v>
      </c>
      <c r="C183" s="43">
        <v>763.13901565999993</v>
      </c>
      <c r="D183" s="43">
        <v>294.353620326</v>
      </c>
      <c r="E183" s="43">
        <v>158.07879610099999</v>
      </c>
      <c r="F183" s="100">
        <v>310.70659923299996</v>
      </c>
    </row>
    <row r="184" spans="1:6" ht="15.75" customHeight="1">
      <c r="A184" s="21">
        <v>42990</v>
      </c>
      <c r="B184" s="43">
        <v>790.39398050499994</v>
      </c>
      <c r="C184" s="43">
        <v>506.94234611699994</v>
      </c>
      <c r="D184" s="43">
        <v>348.86355001599998</v>
      </c>
      <c r="E184" s="43">
        <v>136.274824225</v>
      </c>
      <c r="F184" s="100">
        <v>283.451634388</v>
      </c>
    </row>
    <row r="185" spans="1:6" ht="15.75" customHeight="1">
      <c r="A185" s="21">
        <v>42991</v>
      </c>
      <c r="B185" s="43">
        <v>957.73946465329982</v>
      </c>
      <c r="C185" s="43">
        <v>509.66784260149996</v>
      </c>
      <c r="D185" s="43">
        <v>431.71864314480001</v>
      </c>
      <c r="E185" s="43">
        <v>134.6395263343</v>
      </c>
      <c r="F185" s="100">
        <v>299.80461329499997</v>
      </c>
    </row>
    <row r="186" spans="1:6" ht="15.75" customHeight="1">
      <c r="A186" s="21">
        <v>42992</v>
      </c>
      <c r="B186" s="43">
        <v>735.88405081499991</v>
      </c>
      <c r="C186" s="43">
        <v>763.13901565999993</v>
      </c>
      <c r="D186" s="43">
        <v>310.70659923299996</v>
      </c>
      <c r="E186" s="43">
        <v>136.274824225</v>
      </c>
      <c r="F186" s="100">
        <v>272.54964845000001</v>
      </c>
    </row>
    <row r="187" spans="1:6" ht="15.75" customHeight="1">
      <c r="A187" s="21">
        <v>42993</v>
      </c>
      <c r="B187" s="43">
        <v>692.82120635989997</v>
      </c>
      <c r="C187" s="43">
        <v>509.66784260149996</v>
      </c>
      <c r="D187" s="43">
        <v>364.67142962610001</v>
      </c>
      <c r="E187" s="43">
        <v>134.6395263343</v>
      </c>
      <c r="F187" s="100">
        <v>298.82343456057998</v>
      </c>
    </row>
    <row r="188" spans="1:6" ht="15.75" customHeight="1">
      <c r="A188" s="21">
        <v>42996</v>
      </c>
      <c r="B188" s="43">
        <v>790.39398050499994</v>
      </c>
      <c r="C188" s="43">
        <v>490.58936720999998</v>
      </c>
      <c r="D188" s="43">
        <v>348.86355001599998</v>
      </c>
      <c r="E188" s="43">
        <v>136.274824225</v>
      </c>
      <c r="F188" s="100">
        <v>354.314542985</v>
      </c>
    </row>
    <row r="189" spans="1:6" ht="15.75" customHeight="1">
      <c r="A189" s="21">
        <v>42997</v>
      </c>
      <c r="B189" s="43">
        <v>992.08072035799989</v>
      </c>
      <c r="C189" s="43">
        <v>490.58936720999998</v>
      </c>
      <c r="D189" s="43">
        <v>327.05957813999999</v>
      </c>
      <c r="E189" s="43">
        <v>136.274824225</v>
      </c>
      <c r="F189" s="100">
        <v>337.96156407799998</v>
      </c>
    </row>
    <row r="190" spans="1:6" ht="15.75" customHeight="1">
      <c r="A190" s="21">
        <v>42998</v>
      </c>
      <c r="B190" s="43">
        <v>1019.3356852029999</v>
      </c>
      <c r="C190" s="43">
        <v>665.02114221799991</v>
      </c>
      <c r="D190" s="43">
        <v>295.98891821669997</v>
      </c>
      <c r="E190" s="43">
        <v>179.88276797699999</v>
      </c>
      <c r="F190" s="100">
        <v>354.314542985</v>
      </c>
    </row>
    <row r="191" spans="1:6" ht="15.75" customHeight="1">
      <c r="A191" s="21">
        <v>42999</v>
      </c>
      <c r="B191" s="43">
        <v>1270.081361777</v>
      </c>
      <c r="C191" s="43">
        <v>1280.9833477149998</v>
      </c>
      <c r="D191" s="43">
        <v>387.02050079899999</v>
      </c>
      <c r="E191" s="43">
        <v>134.6395263343</v>
      </c>
      <c r="F191" s="100">
        <v>354.314542985</v>
      </c>
    </row>
    <row r="192" spans="1:6" ht="15.75" customHeight="1">
      <c r="A192" s="21">
        <v>43000</v>
      </c>
      <c r="B192" s="43">
        <v>1215.5714320869999</v>
      </c>
      <c r="C192" s="43">
        <v>975.72774145099993</v>
      </c>
      <c r="D192" s="43">
        <v>348.86355001599998</v>
      </c>
      <c r="E192" s="43">
        <v>134.6395263343</v>
      </c>
      <c r="F192" s="43">
        <v>354.314542985</v>
      </c>
    </row>
    <row r="193" spans="1:6" ht="15.75" customHeight="1">
      <c r="A193" s="21">
        <v>43003</v>
      </c>
      <c r="B193" s="43">
        <v>389.20089798660001</v>
      </c>
      <c r="C193" s="43">
        <v>310.70659923299996</v>
      </c>
      <c r="D193" s="43">
        <v>708.62908597000001</v>
      </c>
      <c r="E193" s="43">
        <v>1106.5515727069999</v>
      </c>
      <c r="F193" s="100">
        <v>134.6395263343</v>
      </c>
    </row>
    <row r="194" spans="1:6" ht="15.75" customHeight="1">
      <c r="A194" s="21">
        <v>43004</v>
      </c>
      <c r="B194" s="43">
        <v>1006.7984013742998</v>
      </c>
      <c r="C194" s="43">
        <v>509.66784260149996</v>
      </c>
      <c r="D194" s="43">
        <v>348.86355001599998</v>
      </c>
      <c r="E194" s="43">
        <v>134.6395263343</v>
      </c>
      <c r="F194" s="100">
        <v>298.82343456057998</v>
      </c>
    </row>
    <row r="195" spans="1:6" ht="15.75" customHeight="1">
      <c r="A195" s="21">
        <v>43005</v>
      </c>
      <c r="B195" s="43">
        <v>1090.1985938</v>
      </c>
      <c r="C195" s="43">
        <v>681.37412112499999</v>
      </c>
      <c r="D195" s="43">
        <v>348.86355001599998</v>
      </c>
      <c r="E195" s="43">
        <v>134.6395263343</v>
      </c>
      <c r="F195" s="100">
        <v>352.35218551615998</v>
      </c>
    </row>
    <row r="196" spans="1:6" ht="15.75" customHeight="1">
      <c r="A196" s="21">
        <v>43006</v>
      </c>
      <c r="B196" s="43">
        <v>872.15887503999988</v>
      </c>
      <c r="C196" s="43">
        <v>588.707240652</v>
      </c>
      <c r="D196" s="43">
        <v>348.86355001599998</v>
      </c>
      <c r="E196" s="43">
        <v>136.274824225</v>
      </c>
      <c r="F196" s="100">
        <v>337.96156407799998</v>
      </c>
    </row>
    <row r="197" spans="1:6" ht="15.75" customHeight="1">
      <c r="A197" s="21">
        <v>43007</v>
      </c>
      <c r="B197" s="43">
        <v>872.15887503999988</v>
      </c>
      <c r="C197" s="43">
        <v>588.707240652</v>
      </c>
      <c r="D197" s="43">
        <v>348.86355001599998</v>
      </c>
      <c r="E197" s="43">
        <v>136.274824225</v>
      </c>
      <c r="F197" s="100">
        <v>337.96156407799998</v>
      </c>
    </row>
    <row r="198" spans="1:6" ht="15.75" customHeight="1">
      <c r="A198" s="21">
        <v>43010</v>
      </c>
      <c r="B198" s="43">
        <v>1056.9475366890999</v>
      </c>
      <c r="C198" s="43">
        <v>648.66816331099994</v>
      </c>
      <c r="D198" s="43">
        <v>372.84791907959999</v>
      </c>
      <c r="E198" s="43">
        <v>134.6395263343</v>
      </c>
      <c r="F198" s="100">
        <v>324.98820081177996</v>
      </c>
    </row>
    <row r="199" spans="1:6" ht="15.75" customHeight="1">
      <c r="A199" s="21">
        <v>43011</v>
      </c>
      <c r="B199" s="43">
        <v>953.92376957499994</v>
      </c>
      <c r="C199" s="43">
        <v>681.37412112499999</v>
      </c>
      <c r="D199" s="43">
        <v>310.70659923299996</v>
      </c>
      <c r="E199" s="43">
        <v>136.274824225</v>
      </c>
      <c r="F199" s="100">
        <v>354.314542985</v>
      </c>
    </row>
    <row r="200" spans="1:6" ht="15.75" customHeight="1">
      <c r="A200" s="21">
        <v>43012</v>
      </c>
      <c r="B200" s="43">
        <v>1019.3356852029999</v>
      </c>
      <c r="C200" s="43">
        <v>501.49135314799997</v>
      </c>
      <c r="D200" s="43">
        <v>311.25169852990001</v>
      </c>
      <c r="E200" s="43">
        <v>134.6395263343</v>
      </c>
      <c r="F200" s="100">
        <v>305.25560626399999</v>
      </c>
    </row>
    <row r="201" spans="1:6" ht="15.75" customHeight="1">
      <c r="A201" s="21">
        <v>43013</v>
      </c>
      <c r="B201" s="43">
        <v>948.47277660599991</v>
      </c>
      <c r="C201" s="43">
        <v>501.49135314799997</v>
      </c>
      <c r="D201" s="43">
        <v>311.25169852990001</v>
      </c>
      <c r="E201" s="43">
        <v>134.6395263343</v>
      </c>
      <c r="F201" s="100">
        <v>370.66752189199997</v>
      </c>
    </row>
    <row r="202" spans="1:6" ht="15.75" customHeight="1">
      <c r="A202" s="21">
        <v>43014</v>
      </c>
      <c r="B202" s="43">
        <v>948.47277660599991</v>
      </c>
      <c r="C202" s="43">
        <v>501.49135314799997</v>
      </c>
      <c r="D202" s="43">
        <v>311.25169852990001</v>
      </c>
      <c r="E202" s="43">
        <v>134.6395263343</v>
      </c>
      <c r="F202" s="100">
        <v>370.66752189199997</v>
      </c>
    </row>
    <row r="203" spans="1:6" ht="15.75" customHeight="1">
      <c r="A203" s="21">
        <v>43017</v>
      </c>
      <c r="B203" s="43">
        <v>1006.7984013742998</v>
      </c>
      <c r="C203" s="43">
        <v>648.66816331099994</v>
      </c>
      <c r="D203" s="43">
        <v>333.60076970279999</v>
      </c>
      <c r="E203" s="43">
        <v>134.6395263343</v>
      </c>
      <c r="F203" s="100">
        <v>352.35218551615998</v>
      </c>
    </row>
    <row r="204" spans="1:6" ht="15.75" customHeight="1">
      <c r="A204" s="21">
        <v>43018</v>
      </c>
      <c r="B204" s="43">
        <v>1006.7984013742998</v>
      </c>
      <c r="C204" s="43">
        <v>648.66816331099994</v>
      </c>
      <c r="D204" s="43">
        <v>333.60076970279999</v>
      </c>
      <c r="E204" s="43">
        <v>112.8355544583</v>
      </c>
      <c r="F204" s="100">
        <v>380.86087874403</v>
      </c>
    </row>
    <row r="205" spans="1:6" ht="15.75" customHeight="1">
      <c r="A205" s="21">
        <v>43019</v>
      </c>
      <c r="B205" s="43">
        <v>1035.68866411</v>
      </c>
      <c r="C205" s="43">
        <v>708.62908597000001</v>
      </c>
      <c r="D205" s="43">
        <v>311.25169852990001</v>
      </c>
      <c r="E205" s="43">
        <v>134.6395263343</v>
      </c>
      <c r="F205" s="100">
        <v>392.47149376799996</v>
      </c>
    </row>
    <row r="206" spans="1:6" ht="15.75" customHeight="1">
      <c r="A206" s="21">
        <v>43020</v>
      </c>
      <c r="B206" s="43">
        <v>953.92376957499994</v>
      </c>
      <c r="C206" s="43">
        <v>599.60922658999993</v>
      </c>
      <c r="D206" s="43">
        <v>276.09279387984998</v>
      </c>
      <c r="E206" s="43">
        <v>134.6395263343</v>
      </c>
      <c r="F206" s="100">
        <v>397.92248673699999</v>
      </c>
    </row>
    <row r="207" spans="1:6" ht="15.75" customHeight="1">
      <c r="A207" s="21">
        <v>43021</v>
      </c>
      <c r="B207" s="43">
        <v>1035.68866411</v>
      </c>
      <c r="C207" s="43">
        <v>708.62908597000001</v>
      </c>
      <c r="D207" s="43">
        <v>311.25169852990001</v>
      </c>
      <c r="E207" s="43">
        <v>134.6395263343</v>
      </c>
      <c r="F207" s="100">
        <v>392.47149376799996</v>
      </c>
    </row>
    <row r="208" spans="1:6" ht="15.75" customHeight="1">
      <c r="A208" s="21">
        <v>43024</v>
      </c>
      <c r="B208" s="43">
        <v>1572.0663722595998</v>
      </c>
      <c r="C208" s="43">
        <v>980.08853582619997</v>
      </c>
      <c r="D208" s="43">
        <v>262.62884124642</v>
      </c>
      <c r="E208" s="43">
        <v>93.211979769899997</v>
      </c>
      <c r="F208" s="100">
        <v>110.76417713008</v>
      </c>
    </row>
    <row r="209" spans="1:6" ht="15.75" customHeight="1">
      <c r="A209" s="21">
        <v>43025</v>
      </c>
      <c r="B209" s="43">
        <v>1271.7166596677</v>
      </c>
      <c r="C209" s="43">
        <v>980.08853582619997</v>
      </c>
      <c r="D209" s="43">
        <v>311.25169852990001</v>
      </c>
      <c r="E209" s="43">
        <v>93.211979769899997</v>
      </c>
      <c r="F209" s="100">
        <v>441.53043048899997</v>
      </c>
    </row>
    <row r="210" spans="1:6" ht="15.75" customHeight="1">
      <c r="A210" s="21">
        <v>43026</v>
      </c>
      <c r="B210" s="43">
        <v>1161.6066016938998</v>
      </c>
      <c r="C210" s="43">
        <v>980.08853582619997</v>
      </c>
      <c r="D210" s="43">
        <v>341.23215985939999</v>
      </c>
      <c r="E210" s="43">
        <v>93.211979769899997</v>
      </c>
      <c r="F210" s="100">
        <v>410.56879042507995</v>
      </c>
    </row>
    <row r="211" spans="1:6" ht="15.75" customHeight="1">
      <c r="A211" s="21">
        <v>43027</v>
      </c>
      <c r="B211" s="43">
        <v>1572.0663722595998</v>
      </c>
      <c r="C211" s="43">
        <v>980.08853582619997</v>
      </c>
      <c r="D211" s="43">
        <v>262.62884124642</v>
      </c>
      <c r="E211" s="43">
        <v>93.211979769899997</v>
      </c>
      <c r="F211" s="100">
        <v>110.76417713008</v>
      </c>
    </row>
    <row r="212" spans="1:6" ht="15.75" customHeight="1">
      <c r="A212" s="21">
        <v>43028</v>
      </c>
      <c r="B212" s="43">
        <v>1275.532354746</v>
      </c>
      <c r="C212" s="43">
        <v>681.37412112499999</v>
      </c>
      <c r="D212" s="43">
        <v>212.58872579099997</v>
      </c>
      <c r="E212" s="43">
        <v>92.666880472999992</v>
      </c>
      <c r="F212" s="100">
        <v>354.314542985</v>
      </c>
    </row>
    <row r="213" spans="1:6" ht="15.75" customHeight="1">
      <c r="A213" s="21">
        <v>43031</v>
      </c>
      <c r="B213" s="43">
        <v>1106.5515727069999</v>
      </c>
      <c r="C213" s="43">
        <v>981.17873441999996</v>
      </c>
      <c r="D213" s="43">
        <v>278.00064141899998</v>
      </c>
      <c r="E213" s="43">
        <v>134.6395263343</v>
      </c>
      <c r="F213" s="100">
        <v>392.47149376799996</v>
      </c>
    </row>
    <row r="214" spans="1:6" ht="15.75" customHeight="1">
      <c r="A214" s="21">
        <v>43032</v>
      </c>
      <c r="B214" s="43">
        <v>1106.5515727069999</v>
      </c>
      <c r="C214" s="43">
        <v>981.17873441999996</v>
      </c>
      <c r="D214" s="43">
        <v>243.1142864174</v>
      </c>
      <c r="E214" s="43">
        <v>112.8355544583</v>
      </c>
      <c r="F214" s="100">
        <v>392.47149376799996</v>
      </c>
    </row>
    <row r="215" spans="1:6" ht="15.75" customHeight="1">
      <c r="A215" s="21">
        <v>43033</v>
      </c>
      <c r="B215" s="43">
        <v>1271.7166596677</v>
      </c>
      <c r="C215" s="43">
        <v>980.08853582619997</v>
      </c>
      <c r="D215" s="43">
        <v>348.86355001599998</v>
      </c>
      <c r="E215" s="43">
        <v>93.211979769899997</v>
      </c>
      <c r="F215" s="100">
        <v>541.61066139983996</v>
      </c>
    </row>
    <row r="216" spans="1:6" ht="15.75" customHeight="1">
      <c r="A216" s="21">
        <v>43034</v>
      </c>
      <c r="B216" s="43">
        <v>1108.7319698946001</v>
      </c>
      <c r="C216" s="43">
        <v>980.08853582619997</v>
      </c>
      <c r="D216" s="43">
        <v>372.84791907959999</v>
      </c>
      <c r="E216" s="43">
        <v>93.211979769899997</v>
      </c>
      <c r="F216" s="100">
        <v>473.63677907640999</v>
      </c>
    </row>
    <row r="217" spans="1:6" ht="15.75" customHeight="1">
      <c r="A217" s="21">
        <v>43035</v>
      </c>
      <c r="B217" s="43">
        <v>1108.7319698946001</v>
      </c>
      <c r="C217" s="43">
        <v>980.08853582619997</v>
      </c>
      <c r="D217" s="43">
        <v>372.84791907959999</v>
      </c>
      <c r="E217" s="43">
        <v>93.211979769899997</v>
      </c>
      <c r="F217" s="100">
        <v>473.63677907640999</v>
      </c>
    </row>
    <row r="218" spans="1:6" ht="15.75" customHeight="1">
      <c r="A218" s="21">
        <v>43038</v>
      </c>
      <c r="B218" s="43">
        <v>1101.1005797379999</v>
      </c>
      <c r="C218" s="43">
        <v>817.64894534999996</v>
      </c>
      <c r="D218" s="43">
        <v>276.09279387984998</v>
      </c>
      <c r="E218" s="43">
        <v>174.43177500799999</v>
      </c>
      <c r="F218" s="100">
        <v>446.98142345799999</v>
      </c>
    </row>
    <row r="219" spans="1:6" ht="15.75" customHeight="1">
      <c r="A219" s="21">
        <v>43039</v>
      </c>
      <c r="B219" s="43">
        <v>1108.7319698946001</v>
      </c>
      <c r="C219" s="43">
        <v>1172.5085876318999</v>
      </c>
      <c r="D219" s="43">
        <v>278.00064141899998</v>
      </c>
      <c r="E219" s="43">
        <v>179.88276797699999</v>
      </c>
      <c r="F219" s="100">
        <v>441.53043048899997</v>
      </c>
    </row>
    <row r="220" spans="1:6" ht="15.75" customHeight="1">
      <c r="A220" s="21">
        <v>43040</v>
      </c>
      <c r="B220" s="43">
        <v>1270.081361777</v>
      </c>
      <c r="C220" s="43">
        <v>1308.2383125599999</v>
      </c>
      <c r="D220" s="43">
        <v>278.00064141899998</v>
      </c>
      <c r="E220" s="43">
        <v>179.88276797699999</v>
      </c>
      <c r="F220" s="100">
        <v>446.98142345799999</v>
      </c>
    </row>
    <row r="221" spans="1:6" ht="15.75" customHeight="1">
      <c r="A221" s="21">
        <v>43041</v>
      </c>
      <c r="B221" s="43">
        <v>1108.7319698946001</v>
      </c>
      <c r="C221" s="43">
        <v>648.66816331099994</v>
      </c>
      <c r="D221" s="43">
        <v>318.8830886865</v>
      </c>
      <c r="E221" s="43">
        <v>93.211979769899997</v>
      </c>
      <c r="F221" s="100">
        <v>473.63677907640999</v>
      </c>
    </row>
    <row r="222" spans="1:6" ht="15.75" customHeight="1">
      <c r="A222" s="21">
        <v>43042</v>
      </c>
      <c r="B222" s="43">
        <v>1056.9475366890999</v>
      </c>
      <c r="C222" s="43">
        <v>648.66816331099994</v>
      </c>
      <c r="D222" s="43">
        <v>311.25169852990001</v>
      </c>
      <c r="E222" s="43">
        <v>93.211979769899997</v>
      </c>
      <c r="F222" s="100">
        <v>506.99685604668997</v>
      </c>
    </row>
    <row r="223" spans="1:6" ht="15.75" customHeight="1">
      <c r="A223" s="21">
        <v>43045</v>
      </c>
      <c r="B223" s="43">
        <v>948.47277660599991</v>
      </c>
      <c r="C223" s="43">
        <v>844.90391019499998</v>
      </c>
      <c r="D223" s="43">
        <v>262.73786110579999</v>
      </c>
      <c r="E223" s="43">
        <v>93.211979769899997</v>
      </c>
      <c r="F223" s="100">
        <v>354.314542985</v>
      </c>
    </row>
    <row r="224" spans="1:6" ht="15.75" customHeight="1">
      <c r="A224" s="21">
        <v>43046</v>
      </c>
      <c r="B224" s="43">
        <v>953.92376957499994</v>
      </c>
      <c r="C224" s="43">
        <v>681.37412112499999</v>
      </c>
      <c r="D224" s="43">
        <v>276.3653435283</v>
      </c>
      <c r="E224" s="43">
        <v>93.211979769899997</v>
      </c>
      <c r="F224" s="100">
        <v>392.47149376799996</v>
      </c>
    </row>
    <row r="225" spans="1:6" ht="15.75" customHeight="1">
      <c r="A225" s="21">
        <v>43047</v>
      </c>
      <c r="B225" s="43">
        <v>817.64894534999996</v>
      </c>
      <c r="C225" s="43">
        <v>817.64894534999996</v>
      </c>
      <c r="D225" s="43">
        <v>245.29468360499999</v>
      </c>
      <c r="E225" s="43">
        <v>114.470852349</v>
      </c>
      <c r="F225" s="100">
        <v>354.314542985</v>
      </c>
    </row>
    <row r="226" spans="1:6" ht="15.75" customHeight="1">
      <c r="A226" s="21">
        <v>43048</v>
      </c>
      <c r="B226" s="43">
        <v>735.88405081499991</v>
      </c>
      <c r="C226" s="43">
        <v>812.19795238099994</v>
      </c>
      <c r="D226" s="43">
        <v>245.29468360499999</v>
      </c>
      <c r="E226" s="43">
        <v>114.470852349</v>
      </c>
      <c r="F226" s="100">
        <v>354.314542985</v>
      </c>
    </row>
    <row r="227" spans="1:6" ht="15.75" customHeight="1">
      <c r="A227" s="21">
        <v>43049</v>
      </c>
      <c r="B227" s="43">
        <v>1056.9475366890999</v>
      </c>
      <c r="C227" s="43">
        <v>509.66784260149996</v>
      </c>
      <c r="D227" s="43">
        <v>311.25169852990001</v>
      </c>
      <c r="E227" s="43">
        <v>93.211979769899997</v>
      </c>
      <c r="F227" s="100">
        <v>473.63677907640999</v>
      </c>
    </row>
    <row r="228" spans="1:6" ht="15.75" customHeight="1">
      <c r="A228" s="21">
        <v>43052</v>
      </c>
      <c r="B228" s="43">
        <v>1035.68866411</v>
      </c>
      <c r="C228" s="43">
        <v>681.37412112499999</v>
      </c>
      <c r="D228" s="43">
        <v>278.00064141899998</v>
      </c>
      <c r="E228" s="43">
        <v>114.470852349</v>
      </c>
      <c r="F228" s="100">
        <v>446.98142345799999</v>
      </c>
    </row>
    <row r="229" spans="1:6" ht="15.75" customHeight="1">
      <c r="A229" s="21">
        <v>43053</v>
      </c>
      <c r="B229" s="43">
        <v>1062.9436289549999</v>
      </c>
      <c r="C229" s="43">
        <v>681.37412112499999</v>
      </c>
      <c r="D229" s="43">
        <v>276.3653435283</v>
      </c>
      <c r="E229" s="43">
        <v>93.211979769899997</v>
      </c>
      <c r="F229" s="100">
        <v>425.17745158199995</v>
      </c>
    </row>
    <row r="230" spans="1:6" ht="15.75" customHeight="1">
      <c r="A230" s="21">
        <v>43054</v>
      </c>
      <c r="B230" s="43">
        <v>1106.5515727069999</v>
      </c>
      <c r="C230" s="43">
        <v>817.64894534999996</v>
      </c>
      <c r="D230" s="43">
        <v>276.3653435283</v>
      </c>
      <c r="E230" s="43">
        <v>93.211979769899997</v>
      </c>
      <c r="F230" s="100">
        <v>446.98142345799999</v>
      </c>
    </row>
    <row r="231" spans="1:6" ht="15.75" customHeight="1">
      <c r="A231" s="21">
        <v>43055</v>
      </c>
      <c r="B231" s="43">
        <v>790.39398050499994</v>
      </c>
      <c r="C231" s="43">
        <v>735.88405081499991</v>
      </c>
      <c r="D231" s="43">
        <v>245.29468360499999</v>
      </c>
      <c r="E231" s="43">
        <v>136.274824225</v>
      </c>
      <c r="F231" s="100">
        <v>446.98142345799999</v>
      </c>
    </row>
    <row r="232" spans="1:6" ht="15.75" customHeight="1">
      <c r="A232" s="21">
        <v>43056</v>
      </c>
      <c r="B232" s="43">
        <v>790.39398050499994</v>
      </c>
      <c r="C232" s="43">
        <v>735.88405081499991</v>
      </c>
      <c r="D232" s="43">
        <v>245.29468360499999</v>
      </c>
      <c r="E232" s="43">
        <v>114.470852349</v>
      </c>
      <c r="F232" s="100">
        <v>392.47149376799996</v>
      </c>
    </row>
    <row r="233" spans="1:6" ht="15.75" customHeight="1">
      <c r="A233" s="21">
        <v>43059</v>
      </c>
      <c r="B233" s="43">
        <v>1002.9827062959999</v>
      </c>
      <c r="C233" s="43">
        <v>981.17873441999996</v>
      </c>
      <c r="D233" s="43">
        <v>243.1142864174</v>
      </c>
      <c r="E233" s="43">
        <v>112.8355544583</v>
      </c>
      <c r="F233" s="100">
        <v>441.53043048899997</v>
      </c>
    </row>
    <row r="234" spans="1:6" ht="15.75" customHeight="1">
      <c r="A234" s="21">
        <v>43060</v>
      </c>
      <c r="B234" s="43">
        <v>953.92376957499994</v>
      </c>
      <c r="C234" s="43">
        <v>975.72774145099993</v>
      </c>
      <c r="D234" s="43">
        <v>243.1142864174</v>
      </c>
      <c r="E234" s="43">
        <v>109.01985937999999</v>
      </c>
      <c r="F234" s="100">
        <v>506.94234611699994</v>
      </c>
    </row>
    <row r="235" spans="1:6" ht="15.75" customHeight="1">
      <c r="A235" s="21">
        <v>43061</v>
      </c>
      <c r="B235" s="43">
        <v>1106.5515727069999</v>
      </c>
      <c r="C235" s="43">
        <v>980.08853582619997</v>
      </c>
      <c r="D235" s="43">
        <v>297.07911681049995</v>
      </c>
      <c r="E235" s="43">
        <v>93.211979769899997</v>
      </c>
      <c r="F235" s="100">
        <v>441.53043048899997</v>
      </c>
    </row>
    <row r="236" spans="1:6" ht="15.75" customHeight="1">
      <c r="A236" s="21">
        <v>43062</v>
      </c>
      <c r="B236" s="43">
        <v>3515.8904650049999</v>
      </c>
      <c r="C236" s="43">
        <v>2289.4170469799997</v>
      </c>
      <c r="D236" s="43">
        <v>389.20089798660001</v>
      </c>
      <c r="E236" s="43">
        <v>212.58872579099997</v>
      </c>
      <c r="F236" s="100">
        <v>806.74695941199991</v>
      </c>
    </row>
    <row r="237" spans="1:6" ht="15.75" customHeight="1">
      <c r="A237" s="21">
        <v>43063</v>
      </c>
      <c r="B237" s="43">
        <v>1662.5528555449998</v>
      </c>
      <c r="C237" s="43">
        <v>1090.1985938</v>
      </c>
      <c r="D237" s="43">
        <v>245.29468360499999</v>
      </c>
      <c r="E237" s="43">
        <v>136.274824225</v>
      </c>
      <c r="F237" s="100">
        <v>545.09929690000001</v>
      </c>
    </row>
    <row r="238" spans="1:6" ht="15.75" customHeight="1">
      <c r="A238" s="21">
        <v>43066</v>
      </c>
      <c r="B238" s="43">
        <v>1572.0663722595998</v>
      </c>
      <c r="C238" s="43">
        <v>509.66784260149996</v>
      </c>
      <c r="D238" s="43">
        <v>297.07911681049995</v>
      </c>
      <c r="E238" s="43">
        <v>112.8355544583</v>
      </c>
      <c r="F238" s="100">
        <v>541.61066139983996</v>
      </c>
    </row>
    <row r="239" spans="1:6" ht="15.75" customHeight="1">
      <c r="A239" s="21">
        <v>43067</v>
      </c>
      <c r="B239" s="43">
        <v>1362.74824225</v>
      </c>
      <c r="C239" s="43">
        <v>681.37412112499999</v>
      </c>
      <c r="D239" s="43">
        <v>245.29468360499999</v>
      </c>
      <c r="E239" s="43">
        <v>114.470852349</v>
      </c>
      <c r="F239" s="100">
        <v>572.35426174499992</v>
      </c>
    </row>
    <row r="240" spans="1:6" ht="15.75" customHeight="1">
      <c r="A240" s="21">
        <v>43068</v>
      </c>
      <c r="B240" s="43">
        <v>1319.140298498</v>
      </c>
      <c r="C240" s="43">
        <v>681.37412112499999</v>
      </c>
      <c r="D240" s="43">
        <v>276.3653435283</v>
      </c>
      <c r="E240" s="43">
        <v>112.8355544583</v>
      </c>
      <c r="F240" s="100">
        <v>556.00128283799995</v>
      </c>
    </row>
    <row r="241" spans="1:6" ht="15.75" customHeight="1">
      <c r="A241" s="21">
        <v>43069</v>
      </c>
      <c r="B241" s="43">
        <v>1319.140298498</v>
      </c>
      <c r="C241" s="43">
        <v>681.37412112499999</v>
      </c>
      <c r="D241" s="43">
        <v>276.3653435283</v>
      </c>
      <c r="E241" s="43">
        <v>112.8355544583</v>
      </c>
      <c r="F241" s="100">
        <v>556.00128283799995</v>
      </c>
    </row>
    <row r="242" spans="1:6" ht="15.75" customHeight="1">
      <c r="A242" s="21">
        <v>43070</v>
      </c>
      <c r="B242" s="43">
        <v>1384.5522141259999</v>
      </c>
      <c r="C242" s="43">
        <v>648.66816331099994</v>
      </c>
      <c r="D242" s="43">
        <v>243.1142864174</v>
      </c>
      <c r="E242" s="43">
        <v>92.666880472999992</v>
      </c>
      <c r="F242" s="100">
        <v>506.94234611699994</v>
      </c>
    </row>
    <row r="243" spans="1:6" ht="15.75" customHeight="1">
      <c r="A243" s="21">
        <v>43073</v>
      </c>
      <c r="B243" s="43">
        <v>1387.8228099073999</v>
      </c>
      <c r="C243" s="43">
        <v>814.37834956860002</v>
      </c>
      <c r="D243" s="43">
        <v>311.25169852990001</v>
      </c>
      <c r="E243" s="43">
        <v>100.84336992649999</v>
      </c>
      <c r="F243" s="100">
        <v>692.82120635989997</v>
      </c>
    </row>
    <row r="244" spans="1:6" ht="15.75" customHeight="1">
      <c r="A244" s="21">
        <v>43074</v>
      </c>
      <c r="B244" s="43">
        <v>1387.8228099073999</v>
      </c>
      <c r="C244" s="43">
        <v>814.37834956860002</v>
      </c>
      <c r="D244" s="43">
        <v>311.25169852990001</v>
      </c>
      <c r="E244" s="43">
        <v>100.84336992649999</v>
      </c>
      <c r="F244" s="100">
        <v>653.02895768619999</v>
      </c>
    </row>
    <row r="245" spans="1:6" ht="15.75" customHeight="1">
      <c r="A245" s="21">
        <v>43075</v>
      </c>
      <c r="B245" s="43">
        <v>1106.5515727069999</v>
      </c>
      <c r="C245" s="43">
        <v>708.62908597000001</v>
      </c>
      <c r="D245" s="43">
        <v>243.1142864174</v>
      </c>
      <c r="E245" s="43">
        <v>93.211979769899997</v>
      </c>
      <c r="F245" s="100">
        <v>545.09929690000001</v>
      </c>
    </row>
    <row r="246" spans="1:6" ht="15.75" customHeight="1">
      <c r="A246" s="21">
        <v>43076</v>
      </c>
      <c r="B246" s="43">
        <v>1019.3356852029999</v>
      </c>
      <c r="C246" s="43">
        <v>981.17873441999996</v>
      </c>
      <c r="D246" s="43">
        <v>256.19666954299998</v>
      </c>
      <c r="E246" s="43">
        <v>93.211979769899997</v>
      </c>
      <c r="F246" s="43">
        <v>504.21684963249999</v>
      </c>
    </row>
    <row r="247" spans="1:6" ht="15.75" customHeight="1">
      <c r="A247" s="21">
        <v>43077</v>
      </c>
      <c r="B247" s="43">
        <v>1024.7866781719999</v>
      </c>
      <c r="C247" s="43">
        <v>981.17873441999996</v>
      </c>
      <c r="D247" s="43">
        <v>245.29468360499999</v>
      </c>
      <c r="E247" s="43">
        <v>114.470852349</v>
      </c>
      <c r="F247" s="100">
        <v>506.94234611699994</v>
      </c>
    </row>
    <row r="248" spans="1:6" ht="15.75" customHeight="1">
      <c r="A248" s="21">
        <v>43080</v>
      </c>
      <c r="B248" s="43">
        <v>1024.7866781719999</v>
      </c>
      <c r="C248" s="43">
        <v>981.17873441999996</v>
      </c>
      <c r="D248" s="43">
        <v>245.29468360499999</v>
      </c>
      <c r="E248" s="43">
        <v>114.470852349</v>
      </c>
      <c r="F248" s="100">
        <v>506.94234611699994</v>
      </c>
    </row>
    <row r="249" spans="1:6" ht="15.75" customHeight="1">
      <c r="A249" s="21">
        <v>43081</v>
      </c>
      <c r="B249" s="43">
        <v>1161.6066016938998</v>
      </c>
      <c r="C249" s="43">
        <v>980.08853582619997</v>
      </c>
      <c r="D249" s="43">
        <v>311.25169852990001</v>
      </c>
      <c r="E249" s="43">
        <v>100.84336992649999</v>
      </c>
      <c r="F249" s="43">
        <v>441.53043048899997</v>
      </c>
    </row>
    <row r="250" spans="1:6" ht="15.75" customHeight="1">
      <c r="A250" s="21">
        <v>43082</v>
      </c>
      <c r="B250" s="43">
        <v>1161.6066016938998</v>
      </c>
      <c r="C250" s="43">
        <v>980.08853582619997</v>
      </c>
      <c r="D250" s="43">
        <v>297.07911681049995</v>
      </c>
      <c r="E250" s="43">
        <v>97.027674848199993</v>
      </c>
      <c r="F250" s="100">
        <v>473.63677907640999</v>
      </c>
    </row>
    <row r="251" spans="1:6" ht="15.75" customHeight="1">
      <c r="A251" s="21">
        <v>43083</v>
      </c>
      <c r="B251" s="43">
        <v>953.92376957499994</v>
      </c>
      <c r="C251" s="43">
        <v>681.37412112499999</v>
      </c>
      <c r="D251" s="43">
        <v>212.58872579099997</v>
      </c>
      <c r="E251" s="43">
        <v>93.211979769899997</v>
      </c>
      <c r="F251" s="100">
        <v>506.94234611699994</v>
      </c>
    </row>
    <row r="252" spans="1:6" ht="15.75" customHeight="1">
      <c r="A252" s="21">
        <v>43084</v>
      </c>
      <c r="B252" s="43">
        <v>1106.5515727069999</v>
      </c>
      <c r="C252" s="43">
        <v>681.37412112499999</v>
      </c>
      <c r="D252" s="43">
        <v>245.29468360499999</v>
      </c>
      <c r="E252" s="43">
        <v>92.666880472999992</v>
      </c>
      <c r="F252" s="100">
        <v>556.00128283799995</v>
      </c>
    </row>
    <row r="253" spans="1:6" ht="15.75" customHeight="1">
      <c r="A253" s="21">
        <v>43087</v>
      </c>
      <c r="B253" s="43">
        <v>872.15887503999988</v>
      </c>
      <c r="C253" s="43">
        <v>872.15887503999988</v>
      </c>
      <c r="D253" s="43">
        <v>212.58872579099997</v>
      </c>
      <c r="E253" s="43">
        <v>92.666880472999992</v>
      </c>
      <c r="F253" s="100">
        <v>501.49135314799997</v>
      </c>
    </row>
    <row r="254" spans="1:6" ht="15.75" customHeight="1">
      <c r="A254" s="21">
        <v>43088</v>
      </c>
      <c r="B254" s="43">
        <v>823.09993831899999</v>
      </c>
      <c r="C254" s="43">
        <v>872.15887503999988</v>
      </c>
      <c r="D254" s="43">
        <v>212.58872579099997</v>
      </c>
      <c r="E254" s="43">
        <v>92.666880472999992</v>
      </c>
      <c r="F254" s="100">
        <v>501.49135314799997</v>
      </c>
    </row>
    <row r="255" spans="1:6" ht="15.75" customHeight="1">
      <c r="A255" s="21">
        <v>43089</v>
      </c>
      <c r="B255" s="43">
        <v>910.31582582299995</v>
      </c>
      <c r="C255" s="43">
        <v>648.66816331099994</v>
      </c>
      <c r="D255" s="43">
        <v>297.07911681049995</v>
      </c>
      <c r="E255" s="43">
        <v>93.211979769899997</v>
      </c>
      <c r="F255" s="100">
        <v>441.53043048899997</v>
      </c>
    </row>
    <row r="256" spans="1:6" ht="15.75" customHeight="1">
      <c r="A256" s="21">
        <v>43090</v>
      </c>
      <c r="B256" s="43">
        <v>953.92376957499994</v>
      </c>
      <c r="C256" s="43">
        <v>981.17873441999996</v>
      </c>
      <c r="D256" s="43">
        <v>245.29468360499999</v>
      </c>
      <c r="E256" s="43">
        <v>92.666880472999992</v>
      </c>
      <c r="F256" s="100">
        <v>441.53043048899997</v>
      </c>
    </row>
    <row r="257" spans="1:6" ht="15.75" customHeight="1">
      <c r="A257" s="21">
        <v>43091</v>
      </c>
      <c r="B257" s="43">
        <v>953.92376957499994</v>
      </c>
      <c r="C257" s="43">
        <v>681.37412112499999</v>
      </c>
      <c r="D257" s="43">
        <v>245.29468360499999</v>
      </c>
      <c r="E257" s="43">
        <v>92.666880472999992</v>
      </c>
      <c r="F257" s="100">
        <v>441.53043048899997</v>
      </c>
    </row>
    <row r="258" spans="1:6" ht="15.75" customHeight="1">
      <c r="A258" s="21">
        <v>43094</v>
      </c>
      <c r="B258" s="43">
        <v>953.92376957499994</v>
      </c>
      <c r="C258" s="43" t="s">
        <v>34</v>
      </c>
      <c r="D258" s="43" t="s">
        <v>34</v>
      </c>
      <c r="E258" s="43" t="s">
        <v>34</v>
      </c>
      <c r="F258" s="43" t="s">
        <v>34</v>
      </c>
    </row>
    <row r="259" spans="1:6" ht="15.75" customHeight="1">
      <c r="A259" s="21">
        <v>43095</v>
      </c>
      <c r="B259" s="43">
        <v>872.15887503999988</v>
      </c>
      <c r="C259" s="43">
        <v>981.17873441999996</v>
      </c>
      <c r="D259" s="43">
        <v>245.29468360499999</v>
      </c>
      <c r="E259" s="43">
        <v>92.666880472999992</v>
      </c>
      <c r="F259" s="43" t="s">
        <v>34</v>
      </c>
    </row>
    <row r="260" spans="1:6" ht="15.75" customHeight="1">
      <c r="A260" s="21">
        <v>43096</v>
      </c>
      <c r="B260" s="43">
        <v>733.70365362739994</v>
      </c>
      <c r="C260" s="43">
        <v>1172.5085876318999</v>
      </c>
      <c r="D260" s="43">
        <v>781.12729245770004</v>
      </c>
      <c r="E260" s="43">
        <v>93.211979769899997</v>
      </c>
      <c r="F260" s="100">
        <v>410.56879042507995</v>
      </c>
    </row>
    <row r="261" spans="1:6" ht="15.75" customHeight="1">
      <c r="A261" s="21">
        <v>43097</v>
      </c>
      <c r="B261" s="43">
        <v>910.31582582299995</v>
      </c>
      <c r="C261" s="43">
        <v>2262.1620821349998</v>
      </c>
      <c r="D261" s="43">
        <v>289.99282595080001</v>
      </c>
      <c r="E261" s="43">
        <v>93.211979769899997</v>
      </c>
      <c r="F261" s="100">
        <v>410.56879042507995</v>
      </c>
    </row>
    <row r="262" spans="1:6" ht="15.75" customHeight="1">
      <c r="A262" s="21">
        <v>43098</v>
      </c>
      <c r="B262" s="43">
        <v>957.73946465329982</v>
      </c>
      <c r="C262" s="43">
        <v>2510.1822622244999</v>
      </c>
      <c r="D262" s="43">
        <v>297.07911681049995</v>
      </c>
      <c r="E262" s="43">
        <v>93.211979769899997</v>
      </c>
      <c r="F262" s="100">
        <v>441.53043048899997</v>
      </c>
    </row>
    <row r="263" spans="1:6">
      <c r="A263" s="15" t="s">
        <v>100</v>
      </c>
      <c r="B263" s="85" t="s">
        <v>96</v>
      </c>
      <c r="C263" s="16">
        <f>MIN(C2:C262)</f>
        <v>81.764894534999996</v>
      </c>
      <c r="D263" s="16">
        <f>MIN(D2:D262)</f>
        <v>99.099052012800001</v>
      </c>
      <c r="E263" s="16">
        <f>MIN(E2:E262)</f>
        <v>92.666880472999992</v>
      </c>
      <c r="F263" s="16">
        <f>MIN(F2:F262)</f>
        <v>110.76417713008</v>
      </c>
    </row>
    <row r="264" spans="1:6">
      <c r="A264" s="15" t="s">
        <v>101</v>
      </c>
      <c r="B264" s="85" t="s">
        <v>96</v>
      </c>
      <c r="C264" s="16">
        <f>MAX(C2:C262)</f>
        <v>73097.815714290002</v>
      </c>
      <c r="D264" s="16">
        <f>MAX(D2:D262)</f>
        <v>4813.2267916269993</v>
      </c>
      <c r="E264" s="16">
        <f>MAX(E2:E262)</f>
        <v>1444.5131367849999</v>
      </c>
      <c r="F264" s="16">
        <f>MAX(F2:F262)</f>
        <v>38685.697100992998</v>
      </c>
    </row>
    <row r="265" spans="1:6">
      <c r="A265" s="15" t="s">
        <v>102</v>
      </c>
      <c r="B265" s="85" t="s">
        <v>96</v>
      </c>
      <c r="C265" s="16">
        <f>AVERAGE(C2:C262)</f>
        <v>4859.917082383472</v>
      </c>
      <c r="D265" s="16">
        <f>AVERAGE(D2:D262)</f>
        <v>809.93315939581464</v>
      </c>
      <c r="E265" s="16">
        <f>AVERAGE(E2:E262)</f>
        <v>176.26069890377627</v>
      </c>
      <c r="F265" s="16">
        <f>AVERAGE(F2:F262)</f>
        <v>2681.5944406622325</v>
      </c>
    </row>
    <row r="266" spans="1:6">
      <c r="A266" s="15" t="s">
        <v>103</v>
      </c>
      <c r="B266" s="85" t="s">
        <v>96</v>
      </c>
      <c r="C266" s="16">
        <f>_xlfn.STDEV.P(C2:C262)</f>
        <v>9987.6636431895804</v>
      </c>
      <c r="D266" s="16">
        <f>_xlfn.STDEV.P(D2:D262)</f>
        <v>1113.5382735132878</v>
      </c>
      <c r="E266" s="16">
        <f>_xlfn.STDEV.P(E2:E262)</f>
        <v>129.45753199023116</v>
      </c>
      <c r="F266" s="16">
        <f>_xlfn.STDEV.P(F2:F262)</f>
        <v>6419.5207377734232</v>
      </c>
    </row>
    <row r="267" spans="1:6">
      <c r="A267" s="131" t="s">
        <v>112</v>
      </c>
      <c r="B267" s="130"/>
      <c r="C267" s="130"/>
      <c r="D267" s="130"/>
      <c r="E267" s="130"/>
      <c r="F267" s="130"/>
    </row>
    <row r="268" spans="1:6" ht="32.25" customHeight="1">
      <c r="A268" s="130" t="s">
        <v>125</v>
      </c>
      <c r="B268" s="130"/>
      <c r="C268" s="130"/>
      <c r="D268" s="130"/>
      <c r="E268" s="130"/>
      <c r="F268" s="130"/>
    </row>
  </sheetData>
  <sortState xmlns:xlrd2="http://schemas.microsoft.com/office/spreadsheetml/2017/richdata2" ref="A198:F412">
    <sortCondition ref="A412"/>
  </sortState>
  <mergeCells count="3">
    <mergeCell ref="A2:F2"/>
    <mergeCell ref="A267:F267"/>
    <mergeCell ref="A268:F268"/>
  </mergeCells>
  <printOptions horizontalCentered="1"/>
  <pageMargins left="0.25" right="0.25" top="1.0833333333333299" bottom="0.75" header="0.3" footer="0.3"/>
  <pageSetup orientation="portrait" r:id="rId1"/>
  <headerFooter alignWithMargins="0">
    <oddHeader>&amp;LBarrick Gold Inc. - Nickel Plate Mine&amp;C&amp;"-,Regular"&amp;18
Table 47 - 5-Day Creek Flows&amp;RAnnual Report, 2017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23"/>
  <sheetViews>
    <sheetView topLeftCell="B1" zoomScaleNormal="100" workbookViewId="0">
      <pane xSplit="1" ySplit="1" topLeftCell="U2" activePane="bottomRight" state="frozen"/>
      <selection activeCell="B33" sqref="B33"/>
      <selection pane="topRight" activeCell="B33" sqref="B33"/>
      <selection pane="bottomLeft" activeCell="B33" sqref="B33"/>
      <selection pane="bottomRight" activeCell="B33" sqref="B33"/>
    </sheetView>
  </sheetViews>
  <sheetFormatPr defaultColWidth="9.1328125" defaultRowHeight="15.75"/>
  <cols>
    <col min="1" max="1" width="9.3984375" style="19" bestFit="1" customWidth="1"/>
    <col min="2" max="2" width="11" style="23" bestFit="1" customWidth="1"/>
    <col min="3" max="3" width="6.73046875" style="19" bestFit="1" customWidth="1"/>
    <col min="4" max="4" width="5.73046875" style="19" bestFit="1" customWidth="1"/>
    <col min="5" max="5" width="6.86328125" style="19" bestFit="1" customWidth="1"/>
    <col min="6" max="6" width="8" style="19" bestFit="1" customWidth="1"/>
    <col min="7" max="7" width="5.73046875" style="19" bestFit="1" customWidth="1"/>
    <col min="8" max="8" width="4.73046875" style="19" bestFit="1" customWidth="1"/>
    <col min="9" max="9" width="5.1328125" style="19" bestFit="1" customWidth="1"/>
    <col min="10" max="10" width="5.73046875" style="19" bestFit="1" customWidth="1"/>
    <col min="11" max="11" width="8.1328125" style="19" bestFit="1" customWidth="1"/>
    <col min="12" max="12" width="8" style="19" bestFit="1" customWidth="1"/>
    <col min="13" max="13" width="8.1328125" style="19" bestFit="1" customWidth="1"/>
    <col min="14" max="15" width="8" style="19" bestFit="1" customWidth="1"/>
    <col min="16" max="17" width="8.1328125" style="19" bestFit="1" customWidth="1"/>
    <col min="18" max="18" width="5.86328125" style="19" bestFit="1" customWidth="1"/>
    <col min="19" max="19" width="9.1328125" style="19" bestFit="1" customWidth="1"/>
    <col min="20" max="20" width="8" style="19" bestFit="1" customWidth="1"/>
    <col min="21" max="21" width="10.3984375" style="19" bestFit="1" customWidth="1"/>
    <col min="22" max="22" width="7.265625" style="19" bestFit="1" customWidth="1"/>
    <col min="23" max="24" width="9.265625" style="19" bestFit="1" customWidth="1"/>
    <col min="25" max="25" width="7.265625" style="19" bestFit="1" customWidth="1"/>
    <col min="26" max="26" width="10.265625" style="19" bestFit="1" customWidth="1"/>
    <col min="27" max="27" width="10.3984375" style="19" bestFit="1" customWidth="1"/>
    <col min="28" max="28" width="8.1328125" style="19" bestFit="1" customWidth="1"/>
    <col min="29" max="29" width="9.1328125" style="19" bestFit="1" customWidth="1"/>
    <col min="30" max="30" width="11.3984375" style="19" bestFit="1" customWidth="1"/>
    <col min="31" max="31" width="9.1328125" style="19" bestFit="1" customWidth="1"/>
    <col min="32" max="32" width="8" style="19" bestFit="1" customWidth="1"/>
    <col min="33" max="33" width="9.1328125" style="19" bestFit="1" customWidth="1"/>
    <col min="34" max="16384" width="9.1328125" style="19"/>
  </cols>
  <sheetData>
    <row r="1" spans="1:33" ht="132">
      <c r="A1" s="1" t="s">
        <v>45</v>
      </c>
      <c r="B1" s="2" t="s">
        <v>46</v>
      </c>
      <c r="C1" s="44" t="s">
        <v>47</v>
      </c>
      <c r="D1" s="5" t="s">
        <v>50</v>
      </c>
      <c r="E1" s="5" t="s">
        <v>51</v>
      </c>
      <c r="F1" s="13" t="s">
        <v>0</v>
      </c>
      <c r="G1" s="4" t="s">
        <v>52</v>
      </c>
      <c r="H1" s="13" t="s">
        <v>53</v>
      </c>
      <c r="I1" s="13" t="s">
        <v>54</v>
      </c>
      <c r="J1" s="5" t="s">
        <v>55</v>
      </c>
      <c r="K1" s="12" t="s">
        <v>56</v>
      </c>
      <c r="L1" s="7" t="s">
        <v>57</v>
      </c>
      <c r="M1" s="7" t="s">
        <v>58</v>
      </c>
      <c r="N1" s="5" t="s">
        <v>59</v>
      </c>
      <c r="O1" s="7" t="s">
        <v>105</v>
      </c>
      <c r="P1" s="7" t="s">
        <v>60</v>
      </c>
      <c r="Q1" s="7" t="s">
        <v>61</v>
      </c>
      <c r="R1" s="4" t="s">
        <v>62</v>
      </c>
      <c r="S1" s="7" t="s">
        <v>64</v>
      </c>
      <c r="T1" s="8" t="s">
        <v>65</v>
      </c>
      <c r="U1" s="8" t="s">
        <v>67</v>
      </c>
      <c r="V1" s="10" t="s">
        <v>70</v>
      </c>
      <c r="W1" s="8" t="s">
        <v>72</v>
      </c>
      <c r="X1" s="11" t="s">
        <v>74</v>
      </c>
      <c r="Y1" s="8" t="s">
        <v>75</v>
      </c>
      <c r="Z1" s="10" t="s">
        <v>77</v>
      </c>
      <c r="AA1" s="8" t="s">
        <v>78</v>
      </c>
      <c r="AB1" s="10" t="s">
        <v>80</v>
      </c>
      <c r="AC1" s="10" t="s">
        <v>82</v>
      </c>
      <c r="AD1" s="9" t="s">
        <v>85</v>
      </c>
      <c r="AE1" s="10" t="s">
        <v>86</v>
      </c>
      <c r="AF1" s="7" t="s">
        <v>87</v>
      </c>
      <c r="AG1" s="10" t="s">
        <v>95</v>
      </c>
    </row>
    <row r="2" spans="1:33">
      <c r="A2" s="20" t="s">
        <v>24</v>
      </c>
      <c r="B2" s="21">
        <v>42740.5</v>
      </c>
      <c r="C2" s="84">
        <v>1204</v>
      </c>
      <c r="D2" s="27">
        <v>-0.2</v>
      </c>
      <c r="E2" s="22">
        <v>486</v>
      </c>
      <c r="F2" s="22">
        <v>232</v>
      </c>
      <c r="G2" s="22">
        <v>7.98</v>
      </c>
      <c r="H2" s="25" t="s">
        <v>96</v>
      </c>
      <c r="I2" s="22">
        <v>363</v>
      </c>
      <c r="J2" s="22">
        <v>0.14000000000000001</v>
      </c>
      <c r="K2" s="24">
        <f t="shared" ref="K2:K13" si="0">0.5* 0.005</f>
        <v>2.5000000000000001E-3</v>
      </c>
      <c r="L2" s="22">
        <v>1.04</v>
      </c>
      <c r="M2" s="24">
        <f t="shared" ref="M2:M10" si="1">0.5* 0.001</f>
        <v>5.0000000000000001E-4</v>
      </c>
      <c r="N2" s="22">
        <v>162</v>
      </c>
      <c r="O2" s="28">
        <f>Q2-P2</f>
        <v>0</v>
      </c>
      <c r="P2" s="24">
        <f t="shared" ref="P2:Q4" si="2">0.5* 0.005</f>
        <v>2.5000000000000001E-3</v>
      </c>
      <c r="Q2" s="24">
        <f t="shared" si="2"/>
        <v>2.5000000000000001E-3</v>
      </c>
      <c r="R2" s="24">
        <f>0.5* 0.5</f>
        <v>0.25</v>
      </c>
      <c r="S2" s="25" t="s">
        <v>96</v>
      </c>
      <c r="T2" s="25" t="s">
        <v>96</v>
      </c>
      <c r="U2" s="50" t="s">
        <v>96</v>
      </c>
      <c r="V2" s="62" t="s">
        <v>96</v>
      </c>
      <c r="W2" s="58" t="s">
        <v>96</v>
      </c>
      <c r="X2" s="58" t="s">
        <v>96</v>
      </c>
      <c r="Y2" s="62" t="s">
        <v>96</v>
      </c>
      <c r="Z2" s="25" t="s">
        <v>96</v>
      </c>
      <c r="AA2" s="50" t="s">
        <v>96</v>
      </c>
      <c r="AB2" s="62" t="s">
        <v>96</v>
      </c>
      <c r="AC2" s="22">
        <v>1.2800000000000001E-2</v>
      </c>
      <c r="AD2" s="22">
        <v>7.1799999999999998E-3</v>
      </c>
      <c r="AE2" s="22">
        <v>6.3000000000000003E-4</v>
      </c>
      <c r="AF2" s="22">
        <v>2E-3</v>
      </c>
      <c r="AG2" s="24">
        <f>0.5* 0.0005</f>
        <v>2.5000000000000001E-4</v>
      </c>
    </row>
    <row r="3" spans="1:33">
      <c r="A3" s="20" t="s">
        <v>24</v>
      </c>
      <c r="B3" s="21">
        <v>42774.5</v>
      </c>
      <c r="C3" s="43">
        <v>599.5</v>
      </c>
      <c r="D3" s="27">
        <v>-0.7</v>
      </c>
      <c r="E3" s="22">
        <v>502</v>
      </c>
      <c r="F3" s="22">
        <v>241</v>
      </c>
      <c r="G3" s="22">
        <v>8.0399999999999991</v>
      </c>
      <c r="H3" s="24">
        <f>0.5* 3</f>
        <v>1.5</v>
      </c>
      <c r="I3" s="22">
        <v>359</v>
      </c>
      <c r="J3" s="22">
        <v>0.28000000000000003</v>
      </c>
      <c r="K3" s="24">
        <f t="shared" si="0"/>
        <v>2.5000000000000001E-3</v>
      </c>
      <c r="L3" s="22">
        <v>1.01</v>
      </c>
      <c r="M3" s="24">
        <f t="shared" si="1"/>
        <v>5.0000000000000001E-4</v>
      </c>
      <c r="N3" s="22">
        <v>167</v>
      </c>
      <c r="O3" s="28">
        <f t="shared" ref="O3:O13" si="3">Q3-P3</f>
        <v>0</v>
      </c>
      <c r="P3" s="24">
        <f t="shared" si="2"/>
        <v>2.5000000000000001E-3</v>
      </c>
      <c r="Q3" s="24">
        <f t="shared" si="2"/>
        <v>2.5000000000000001E-3</v>
      </c>
      <c r="R3" s="24">
        <f>0.5* 0.5</f>
        <v>0.25</v>
      </c>
      <c r="S3" s="22">
        <v>5.77E-3</v>
      </c>
      <c r="T3" s="22">
        <v>1.1900000000000001E-2</v>
      </c>
      <c r="U3" s="51">
        <v>6.9999999999999999E-6</v>
      </c>
      <c r="V3" s="41">
        <v>6.6E-4</v>
      </c>
      <c r="W3" s="59">
        <v>2.5000000000000001E-5</v>
      </c>
      <c r="X3" s="60">
        <f>0.5* 0.000005</f>
        <v>2.5000000000000002E-6</v>
      </c>
      <c r="Y3" s="41">
        <v>2.2399999999999998E-3</v>
      </c>
      <c r="Z3" s="22">
        <v>3.5799999999999998E-3</v>
      </c>
      <c r="AA3" s="52">
        <f>0.5* 0.000005</f>
        <v>2.5000000000000002E-6</v>
      </c>
      <c r="AB3" s="41">
        <v>5.1000000000000004E-4</v>
      </c>
      <c r="AC3" s="22">
        <v>1.1900000000000001E-2</v>
      </c>
      <c r="AD3" s="22">
        <v>8.6700000000000006E-3</v>
      </c>
      <c r="AE3" s="22">
        <v>7.6000000000000004E-4</v>
      </c>
      <c r="AF3" s="22">
        <v>2.5999999999999999E-3</v>
      </c>
      <c r="AG3" s="22">
        <v>5.8E-4</v>
      </c>
    </row>
    <row r="4" spans="1:33">
      <c r="A4" s="20" t="s">
        <v>24</v>
      </c>
      <c r="B4" s="21">
        <v>42801.5</v>
      </c>
      <c r="C4" s="43">
        <v>926</v>
      </c>
      <c r="D4" s="27">
        <v>-0.1</v>
      </c>
      <c r="E4" s="22">
        <v>509</v>
      </c>
      <c r="F4" s="22">
        <v>264</v>
      </c>
      <c r="G4" s="22">
        <v>8.08</v>
      </c>
      <c r="H4" s="25" t="s">
        <v>96</v>
      </c>
      <c r="I4" s="22">
        <v>366</v>
      </c>
      <c r="J4" s="22">
        <v>0.23</v>
      </c>
      <c r="K4" s="24">
        <f t="shared" si="0"/>
        <v>2.5000000000000001E-3</v>
      </c>
      <c r="L4" s="22">
        <v>1.0900000000000001</v>
      </c>
      <c r="M4" s="24">
        <f t="shared" si="1"/>
        <v>5.0000000000000001E-4</v>
      </c>
      <c r="N4" s="22">
        <v>177</v>
      </c>
      <c r="O4" s="28">
        <f t="shared" si="3"/>
        <v>0</v>
      </c>
      <c r="P4" s="24">
        <f t="shared" si="2"/>
        <v>2.5000000000000001E-3</v>
      </c>
      <c r="Q4" s="24">
        <f t="shared" si="2"/>
        <v>2.5000000000000001E-3</v>
      </c>
      <c r="R4" s="24">
        <f>0.5* 0.5</f>
        <v>0.25</v>
      </c>
      <c r="S4" s="25" t="s">
        <v>96</v>
      </c>
      <c r="T4" s="25" t="s">
        <v>96</v>
      </c>
      <c r="U4" s="50" t="s">
        <v>96</v>
      </c>
      <c r="V4" s="62" t="s">
        <v>96</v>
      </c>
      <c r="W4" s="58" t="s">
        <v>96</v>
      </c>
      <c r="X4" s="58" t="s">
        <v>96</v>
      </c>
      <c r="Y4" s="62" t="s">
        <v>96</v>
      </c>
      <c r="Z4" s="25" t="s">
        <v>96</v>
      </c>
      <c r="AA4" s="50" t="s">
        <v>96</v>
      </c>
      <c r="AB4" s="62" t="s">
        <v>96</v>
      </c>
      <c r="AC4" s="22">
        <v>1.24E-2</v>
      </c>
      <c r="AD4" s="22">
        <v>1.0699999999999999E-2</v>
      </c>
      <c r="AE4" s="22">
        <v>6.0999999999999997E-4</v>
      </c>
      <c r="AF4" s="24">
        <f>0.5* 0.03</f>
        <v>1.4999999999999999E-2</v>
      </c>
      <c r="AG4" s="24">
        <f t="shared" ref="AG4:AG13" si="4">0.5* 0.001</f>
        <v>5.0000000000000001E-4</v>
      </c>
    </row>
    <row r="5" spans="1:33">
      <c r="A5" s="20" t="s">
        <v>24</v>
      </c>
      <c r="B5" s="21">
        <v>42830.5</v>
      </c>
      <c r="C5" s="43">
        <v>1569.6000000000001</v>
      </c>
      <c r="D5" s="27">
        <v>3.4</v>
      </c>
      <c r="E5" s="22">
        <v>491</v>
      </c>
      <c r="F5" s="22">
        <v>236</v>
      </c>
      <c r="G5" s="22">
        <v>8.1300000000000008</v>
      </c>
      <c r="H5" s="24">
        <f>0.5* 3</f>
        <v>1.5</v>
      </c>
      <c r="I5" s="22">
        <v>348</v>
      </c>
      <c r="J5" s="22">
        <v>0.28999999999999998</v>
      </c>
      <c r="K5" s="24">
        <f t="shared" si="0"/>
        <v>2.5000000000000001E-3</v>
      </c>
      <c r="L5" s="22">
        <v>0.88900000000000001</v>
      </c>
      <c r="M5" s="24">
        <f t="shared" si="1"/>
        <v>5.0000000000000001E-4</v>
      </c>
      <c r="N5" s="22">
        <v>164</v>
      </c>
      <c r="O5" s="28">
        <f t="shared" si="3"/>
        <v>3.2000000000000002E-3</v>
      </c>
      <c r="P5" s="24">
        <f t="shared" ref="P5:P13" si="5">0.5* 0.005</f>
        <v>2.5000000000000001E-3</v>
      </c>
      <c r="Q5" s="22">
        <v>5.7000000000000002E-3</v>
      </c>
      <c r="R5" s="24">
        <f>0.5* 0.5</f>
        <v>0.25</v>
      </c>
      <c r="S5" s="22">
        <v>1.6799999999999999E-2</v>
      </c>
      <c r="T5" s="22">
        <v>1.2500000000000001E-2</v>
      </c>
      <c r="U5" s="51">
        <v>2.1800000000000001E-5</v>
      </c>
      <c r="V5" s="41">
        <v>1.17E-3</v>
      </c>
      <c r="W5" s="60">
        <f>0.5* 0.00005</f>
        <v>2.5000000000000001E-5</v>
      </c>
      <c r="X5" s="60">
        <f>0.5* 0.000005</f>
        <v>2.5000000000000002E-6</v>
      </c>
      <c r="Y5" s="41">
        <v>2.5100000000000001E-3</v>
      </c>
      <c r="Z5" s="22">
        <v>3.1900000000000001E-3</v>
      </c>
      <c r="AA5" s="52">
        <f>0.5* 0.00001</f>
        <v>5.0000000000000004E-6</v>
      </c>
      <c r="AB5" s="63">
        <f>0.5* 0.003</f>
        <v>1.5E-3</v>
      </c>
      <c r="AC5" s="22">
        <v>1.35E-2</v>
      </c>
      <c r="AD5" s="22">
        <v>1.8800000000000001E-2</v>
      </c>
      <c r="AE5" s="22">
        <v>8.4999999999999995E-4</v>
      </c>
      <c r="AF5" s="24">
        <f>0.5* 0.01</f>
        <v>5.0000000000000001E-3</v>
      </c>
      <c r="AG5" s="24">
        <f t="shared" si="4"/>
        <v>5.0000000000000001E-4</v>
      </c>
    </row>
    <row r="6" spans="1:33">
      <c r="A6" s="20" t="s">
        <v>24</v>
      </c>
      <c r="B6" s="21">
        <v>42858</v>
      </c>
      <c r="C6" s="43">
        <v>8622.3806783641994</v>
      </c>
      <c r="D6" s="22">
        <v>6.4</v>
      </c>
      <c r="E6" s="22">
        <v>275</v>
      </c>
      <c r="F6" s="22">
        <v>123</v>
      </c>
      <c r="G6" s="22">
        <v>8.06</v>
      </c>
      <c r="H6" s="25" t="s">
        <v>96</v>
      </c>
      <c r="I6" s="22">
        <v>214</v>
      </c>
      <c r="J6" s="22">
        <v>1.37</v>
      </c>
      <c r="K6" s="24">
        <f t="shared" si="0"/>
        <v>2.5000000000000001E-3</v>
      </c>
      <c r="L6" s="22">
        <v>0.28399999999999997</v>
      </c>
      <c r="M6" s="24">
        <f t="shared" si="1"/>
        <v>5.0000000000000001E-4</v>
      </c>
      <c r="N6" s="22">
        <v>56.2</v>
      </c>
      <c r="O6" s="28">
        <f t="shared" si="3"/>
        <v>0</v>
      </c>
      <c r="P6" s="24">
        <f t="shared" si="5"/>
        <v>2.5000000000000001E-3</v>
      </c>
      <c r="Q6" s="24">
        <f t="shared" ref="Q6:Q13" si="6">0.5* 0.005</f>
        <v>2.5000000000000001E-3</v>
      </c>
      <c r="R6" s="24">
        <f>0.5* 0.5</f>
        <v>0.25</v>
      </c>
      <c r="S6" s="25" t="s">
        <v>96</v>
      </c>
      <c r="T6" s="25" t="s">
        <v>96</v>
      </c>
      <c r="U6" s="50" t="s">
        <v>96</v>
      </c>
      <c r="V6" s="62" t="s">
        <v>96</v>
      </c>
      <c r="W6" s="58" t="s">
        <v>96</v>
      </c>
      <c r="X6" s="58" t="s">
        <v>96</v>
      </c>
      <c r="Y6" s="62" t="s">
        <v>96</v>
      </c>
      <c r="Z6" s="25" t="s">
        <v>96</v>
      </c>
      <c r="AA6" s="50" t="s">
        <v>96</v>
      </c>
      <c r="AB6" s="62" t="s">
        <v>96</v>
      </c>
      <c r="AC6" s="22">
        <v>1.2699999999999999E-2</v>
      </c>
      <c r="AD6" s="22">
        <v>4.3800000000000002E-3</v>
      </c>
      <c r="AE6" s="22">
        <v>2.65E-3</v>
      </c>
      <c r="AF6" s="22">
        <v>1.9E-2</v>
      </c>
      <c r="AG6" s="24">
        <f t="shared" si="4"/>
        <v>5.0000000000000001E-4</v>
      </c>
    </row>
    <row r="7" spans="1:33">
      <c r="A7" s="20" t="s">
        <v>24</v>
      </c>
      <c r="B7" s="21">
        <v>42893.5</v>
      </c>
      <c r="C7" s="43">
        <v>16132</v>
      </c>
      <c r="D7" s="27">
        <v>10.199999999999999</v>
      </c>
      <c r="E7" s="22">
        <v>318</v>
      </c>
      <c r="F7" s="22">
        <v>153</v>
      </c>
      <c r="G7" s="22">
        <v>7.95</v>
      </c>
      <c r="H7" s="25" t="s">
        <v>96</v>
      </c>
      <c r="I7" s="22">
        <v>230</v>
      </c>
      <c r="J7" s="22">
        <v>0.84</v>
      </c>
      <c r="K7" s="24">
        <f t="shared" si="0"/>
        <v>2.5000000000000001E-3</v>
      </c>
      <c r="L7" s="22">
        <v>0.55700000000000005</v>
      </c>
      <c r="M7" s="24">
        <f t="shared" si="1"/>
        <v>5.0000000000000001E-4</v>
      </c>
      <c r="N7" s="22">
        <v>99</v>
      </c>
      <c r="O7" s="28">
        <f t="shared" si="3"/>
        <v>0</v>
      </c>
      <c r="P7" s="24">
        <f t="shared" si="5"/>
        <v>2.5000000000000001E-3</v>
      </c>
      <c r="Q7" s="24">
        <f t="shared" si="6"/>
        <v>2.5000000000000001E-3</v>
      </c>
      <c r="R7" s="22">
        <v>0.51</v>
      </c>
      <c r="S7" s="25" t="s">
        <v>96</v>
      </c>
      <c r="T7" s="25" t="s">
        <v>96</v>
      </c>
      <c r="U7" s="50" t="s">
        <v>96</v>
      </c>
      <c r="V7" s="62" t="s">
        <v>96</v>
      </c>
      <c r="W7" s="58" t="s">
        <v>96</v>
      </c>
      <c r="X7" s="58" t="s">
        <v>96</v>
      </c>
      <c r="Y7" s="62" t="s">
        <v>96</v>
      </c>
      <c r="Z7" s="25" t="s">
        <v>96</v>
      </c>
      <c r="AA7" s="50" t="s">
        <v>96</v>
      </c>
      <c r="AB7" s="62" t="s">
        <v>96</v>
      </c>
      <c r="AC7" s="22">
        <v>1.29E-2</v>
      </c>
      <c r="AD7" s="22">
        <v>1.0499999999999999E-3</v>
      </c>
      <c r="AE7" s="22">
        <v>1.4499999999999999E-3</v>
      </c>
      <c r="AF7" s="22">
        <v>1.2999999999999999E-2</v>
      </c>
      <c r="AG7" s="24">
        <f t="shared" si="4"/>
        <v>5.0000000000000001E-4</v>
      </c>
    </row>
    <row r="8" spans="1:33">
      <c r="A8" s="20" t="s">
        <v>24</v>
      </c>
      <c r="B8" s="21">
        <v>42921.5</v>
      </c>
      <c r="C8" s="43">
        <v>4550.75</v>
      </c>
      <c r="D8" s="27">
        <v>11.6</v>
      </c>
      <c r="E8" s="22">
        <v>462</v>
      </c>
      <c r="F8" s="22">
        <v>218</v>
      </c>
      <c r="G8" s="22">
        <v>8.0500000000000007</v>
      </c>
      <c r="H8" s="22">
        <v>3.3</v>
      </c>
      <c r="I8" s="22">
        <v>346</v>
      </c>
      <c r="J8" s="22">
        <v>0.88</v>
      </c>
      <c r="K8" s="24">
        <f t="shared" si="0"/>
        <v>2.5000000000000001E-3</v>
      </c>
      <c r="L8" s="22">
        <v>0.72599999999999998</v>
      </c>
      <c r="M8" s="24">
        <f t="shared" si="1"/>
        <v>5.0000000000000001E-4</v>
      </c>
      <c r="N8" s="22">
        <v>148</v>
      </c>
      <c r="O8" s="28">
        <f t="shared" si="3"/>
        <v>0</v>
      </c>
      <c r="P8" s="24">
        <f t="shared" si="5"/>
        <v>2.5000000000000001E-3</v>
      </c>
      <c r="Q8" s="24">
        <f t="shared" si="6"/>
        <v>2.5000000000000001E-3</v>
      </c>
      <c r="R8" s="24">
        <f t="shared" ref="R8:R13" si="7">0.5* 0.5</f>
        <v>0.25</v>
      </c>
      <c r="S8" s="22">
        <v>7.2900000000000006E-2</v>
      </c>
      <c r="T8" s="22">
        <v>1.44E-2</v>
      </c>
      <c r="U8" s="52">
        <f>0.5* 0.000015</f>
        <v>7.5000000000000002E-6</v>
      </c>
      <c r="V8" s="41">
        <v>1.48E-3</v>
      </c>
      <c r="W8" s="60">
        <f>0.5* 0.00005</f>
        <v>2.5000000000000001E-5</v>
      </c>
      <c r="X8" s="60">
        <f>0.5* 0.000005</f>
        <v>2.5000000000000002E-6</v>
      </c>
      <c r="Y8" s="41">
        <v>3.9699999999999996E-3</v>
      </c>
      <c r="Z8" s="22">
        <v>3.9699999999999996E-3</v>
      </c>
      <c r="AA8" s="52">
        <f>0.5* 0.00001</f>
        <v>5.0000000000000004E-6</v>
      </c>
      <c r="AB8" s="63">
        <f>0.5* 0.003</f>
        <v>1.5E-3</v>
      </c>
      <c r="AC8" s="22">
        <v>1.3599999999999999E-2</v>
      </c>
      <c r="AD8" s="22">
        <v>2.3E-3</v>
      </c>
      <c r="AE8" s="22">
        <v>1.0399999999999999E-3</v>
      </c>
      <c r="AF8" s="24">
        <f t="shared" ref="AF8:AF13" si="8">0.5* 0.01</f>
        <v>5.0000000000000001E-3</v>
      </c>
      <c r="AG8" s="24">
        <f t="shared" si="4"/>
        <v>5.0000000000000001E-4</v>
      </c>
    </row>
    <row r="9" spans="1:33">
      <c r="A9" s="20" t="s">
        <v>24</v>
      </c>
      <c r="B9" s="21">
        <v>42949</v>
      </c>
      <c r="C9" s="43">
        <v>1437.9719452222</v>
      </c>
      <c r="D9" s="22">
        <v>13.9</v>
      </c>
      <c r="E9" s="22">
        <v>602</v>
      </c>
      <c r="F9" s="22">
        <v>300</v>
      </c>
      <c r="G9" s="22">
        <v>8.11</v>
      </c>
      <c r="H9" s="25" t="s">
        <v>96</v>
      </c>
      <c r="I9" s="22">
        <v>485</v>
      </c>
      <c r="J9" s="22">
        <v>0.55000000000000004</v>
      </c>
      <c r="K9" s="24">
        <f t="shared" si="0"/>
        <v>2.5000000000000001E-3</v>
      </c>
      <c r="L9" s="22">
        <v>0.89</v>
      </c>
      <c r="M9" s="24">
        <f t="shared" si="1"/>
        <v>5.0000000000000001E-4</v>
      </c>
      <c r="N9" s="22">
        <v>215</v>
      </c>
      <c r="O9" s="28">
        <f t="shared" si="3"/>
        <v>0</v>
      </c>
      <c r="P9" s="24">
        <f t="shared" si="5"/>
        <v>2.5000000000000001E-3</v>
      </c>
      <c r="Q9" s="24">
        <f t="shared" si="6"/>
        <v>2.5000000000000001E-3</v>
      </c>
      <c r="R9" s="24">
        <f t="shared" si="7"/>
        <v>0.25</v>
      </c>
      <c r="S9" s="25" t="s">
        <v>96</v>
      </c>
      <c r="T9" s="25" t="s">
        <v>96</v>
      </c>
      <c r="U9" s="50" t="s">
        <v>96</v>
      </c>
      <c r="V9" s="62" t="s">
        <v>96</v>
      </c>
      <c r="W9" s="58" t="s">
        <v>96</v>
      </c>
      <c r="X9" s="58" t="s">
        <v>96</v>
      </c>
      <c r="Y9" s="62" t="s">
        <v>96</v>
      </c>
      <c r="Z9" s="25" t="s">
        <v>96</v>
      </c>
      <c r="AA9" s="50" t="s">
        <v>96</v>
      </c>
      <c r="AB9" s="62" t="s">
        <v>96</v>
      </c>
      <c r="AC9" s="22">
        <v>1.5299999999999999E-2</v>
      </c>
      <c r="AD9" s="22">
        <v>4.3699999999999998E-3</v>
      </c>
      <c r="AE9" s="22">
        <v>8.8999999999999995E-4</v>
      </c>
      <c r="AF9" s="24">
        <f t="shared" si="8"/>
        <v>5.0000000000000001E-3</v>
      </c>
      <c r="AG9" s="24">
        <f t="shared" si="4"/>
        <v>5.0000000000000001E-4</v>
      </c>
    </row>
    <row r="10" spans="1:33">
      <c r="A10" s="20" t="s">
        <v>24</v>
      </c>
      <c r="B10" s="21">
        <v>42984</v>
      </c>
      <c r="C10" s="43">
        <v>479.68738127199998</v>
      </c>
      <c r="D10" s="22">
        <v>14.8</v>
      </c>
      <c r="E10" s="22">
        <v>714</v>
      </c>
      <c r="F10" s="22">
        <v>382</v>
      </c>
      <c r="G10" s="22">
        <v>8.1999999999999993</v>
      </c>
      <c r="H10" s="25" t="s">
        <v>96</v>
      </c>
      <c r="I10" s="22">
        <v>558</v>
      </c>
      <c r="J10" s="22">
        <v>0.27</v>
      </c>
      <c r="K10" s="24">
        <f t="shared" si="0"/>
        <v>2.5000000000000001E-3</v>
      </c>
      <c r="L10" s="22">
        <v>1.03</v>
      </c>
      <c r="M10" s="24">
        <f t="shared" si="1"/>
        <v>5.0000000000000001E-4</v>
      </c>
      <c r="N10" s="22">
        <v>281</v>
      </c>
      <c r="O10" s="28">
        <f t="shared" si="3"/>
        <v>0</v>
      </c>
      <c r="P10" s="24">
        <f t="shared" si="5"/>
        <v>2.5000000000000001E-3</v>
      </c>
      <c r="Q10" s="24">
        <f t="shared" si="6"/>
        <v>2.5000000000000001E-3</v>
      </c>
      <c r="R10" s="24">
        <f t="shared" si="7"/>
        <v>0.25</v>
      </c>
      <c r="S10" s="25" t="s">
        <v>96</v>
      </c>
      <c r="T10" s="25" t="s">
        <v>96</v>
      </c>
      <c r="U10" s="50" t="s">
        <v>96</v>
      </c>
      <c r="V10" s="62" t="s">
        <v>96</v>
      </c>
      <c r="W10" s="58" t="s">
        <v>96</v>
      </c>
      <c r="X10" s="58" t="s">
        <v>96</v>
      </c>
      <c r="Y10" s="62" t="s">
        <v>96</v>
      </c>
      <c r="Z10" s="25" t="s">
        <v>96</v>
      </c>
      <c r="AA10" s="50" t="s">
        <v>96</v>
      </c>
      <c r="AB10" s="62" t="s">
        <v>96</v>
      </c>
      <c r="AC10" s="22">
        <v>1.5800000000000002E-2</v>
      </c>
      <c r="AD10" s="22">
        <v>7.2100000000000003E-3</v>
      </c>
      <c r="AE10" s="22">
        <v>8.7000000000000001E-4</v>
      </c>
      <c r="AF10" s="24">
        <f t="shared" si="8"/>
        <v>5.0000000000000001E-3</v>
      </c>
      <c r="AG10" s="24">
        <f t="shared" si="4"/>
        <v>5.0000000000000001E-4</v>
      </c>
    </row>
    <row r="11" spans="1:33">
      <c r="A11" s="20" t="s">
        <v>24</v>
      </c>
      <c r="B11" s="21">
        <v>43012</v>
      </c>
      <c r="C11" s="43">
        <v>501.49135314799997</v>
      </c>
      <c r="D11" s="22">
        <v>5.2</v>
      </c>
      <c r="E11" s="22">
        <v>636</v>
      </c>
      <c r="F11" s="22">
        <v>330</v>
      </c>
      <c r="G11" s="22">
        <v>8.09</v>
      </c>
      <c r="H11" s="24">
        <f>0.5* 3</f>
        <v>1.5</v>
      </c>
      <c r="I11" s="22">
        <v>489</v>
      </c>
      <c r="J11" s="22">
        <v>0.27</v>
      </c>
      <c r="K11" s="24">
        <f t="shared" si="0"/>
        <v>2.5000000000000001E-3</v>
      </c>
      <c r="L11" s="22">
        <v>0.83099999999999996</v>
      </c>
      <c r="M11" s="24">
        <f>0.5* 0.001</f>
        <v>5.0000000000000001E-4</v>
      </c>
      <c r="N11" s="22">
        <v>241</v>
      </c>
      <c r="O11" s="28">
        <f t="shared" si="3"/>
        <v>0</v>
      </c>
      <c r="P11" s="24">
        <f t="shared" si="5"/>
        <v>2.5000000000000001E-3</v>
      </c>
      <c r="Q11" s="24">
        <f t="shared" si="6"/>
        <v>2.5000000000000001E-3</v>
      </c>
      <c r="R11" s="24">
        <f t="shared" si="7"/>
        <v>0.25</v>
      </c>
      <c r="S11" s="22">
        <v>1.32E-2</v>
      </c>
      <c r="T11" s="22">
        <v>1.3299999999999999E-2</v>
      </c>
      <c r="U11" s="51">
        <v>1.0699999999999999E-5</v>
      </c>
      <c r="V11" s="41">
        <v>8.7000000000000001E-4</v>
      </c>
      <c r="W11" s="60">
        <f>0.5* 0.00005</f>
        <v>2.5000000000000001E-5</v>
      </c>
      <c r="X11" s="60">
        <f>0.5* 0.000005</f>
        <v>2.5000000000000002E-6</v>
      </c>
      <c r="Y11" s="41">
        <v>3.3E-3</v>
      </c>
      <c r="Z11" s="22">
        <v>4.5399999999999998E-3</v>
      </c>
      <c r="AA11" s="52">
        <f>0.5* 0.00001</f>
        <v>5.0000000000000004E-6</v>
      </c>
      <c r="AB11" s="63">
        <f>0.5* 0.003</f>
        <v>1.5E-3</v>
      </c>
      <c r="AC11" s="22">
        <v>1.4E-2</v>
      </c>
      <c r="AD11" s="22">
        <v>7.5199999999999998E-3</v>
      </c>
      <c r="AE11" s="22">
        <v>7.2999999999999996E-4</v>
      </c>
      <c r="AF11" s="24">
        <f t="shared" si="8"/>
        <v>5.0000000000000001E-3</v>
      </c>
      <c r="AG11" s="24">
        <f t="shared" si="4"/>
        <v>5.0000000000000001E-4</v>
      </c>
    </row>
    <row r="12" spans="1:33">
      <c r="A12" s="20" t="s">
        <v>24</v>
      </c>
      <c r="B12" s="21">
        <v>43047.5</v>
      </c>
      <c r="C12" s="43">
        <v>872</v>
      </c>
      <c r="D12" s="27">
        <v>-0.4</v>
      </c>
      <c r="E12" s="22">
        <v>586</v>
      </c>
      <c r="F12" s="22">
        <v>341</v>
      </c>
      <c r="G12" s="22">
        <v>8.11</v>
      </c>
      <c r="H12" s="25" t="s">
        <v>96</v>
      </c>
      <c r="I12" s="22">
        <v>447</v>
      </c>
      <c r="J12" s="22">
        <v>0.25</v>
      </c>
      <c r="K12" s="24">
        <f t="shared" si="0"/>
        <v>2.5000000000000001E-3</v>
      </c>
      <c r="L12" s="22">
        <v>0.874</v>
      </c>
      <c r="M12" s="24">
        <f>0.5* 0.001</f>
        <v>5.0000000000000001E-4</v>
      </c>
      <c r="N12" s="22">
        <v>228</v>
      </c>
      <c r="O12" s="28">
        <f t="shared" si="3"/>
        <v>0</v>
      </c>
      <c r="P12" s="24">
        <f t="shared" si="5"/>
        <v>2.5000000000000001E-3</v>
      </c>
      <c r="Q12" s="24">
        <f t="shared" si="6"/>
        <v>2.5000000000000001E-3</v>
      </c>
      <c r="R12" s="24">
        <f t="shared" si="7"/>
        <v>0.25</v>
      </c>
      <c r="S12" s="25" t="s">
        <v>96</v>
      </c>
      <c r="T12" s="25" t="s">
        <v>96</v>
      </c>
      <c r="U12" s="50" t="s">
        <v>96</v>
      </c>
      <c r="V12" s="62" t="s">
        <v>96</v>
      </c>
      <c r="W12" s="58" t="s">
        <v>96</v>
      </c>
      <c r="X12" s="58" t="s">
        <v>96</v>
      </c>
      <c r="Y12" s="62" t="s">
        <v>96</v>
      </c>
      <c r="Z12" s="25" t="s">
        <v>96</v>
      </c>
      <c r="AA12" s="50" t="s">
        <v>96</v>
      </c>
      <c r="AB12" s="62" t="s">
        <v>96</v>
      </c>
      <c r="AC12" s="22">
        <v>1.15E-2</v>
      </c>
      <c r="AD12" s="22">
        <v>8.6300000000000005E-3</v>
      </c>
      <c r="AE12" s="22">
        <v>6.6E-4</v>
      </c>
      <c r="AF12" s="24">
        <f t="shared" si="8"/>
        <v>5.0000000000000001E-3</v>
      </c>
      <c r="AG12" s="24">
        <f t="shared" si="4"/>
        <v>5.0000000000000001E-4</v>
      </c>
    </row>
    <row r="13" spans="1:33">
      <c r="A13" s="20" t="s">
        <v>24</v>
      </c>
      <c r="B13" s="21">
        <v>43075.5</v>
      </c>
      <c r="C13" s="43">
        <v>866.55000000000007</v>
      </c>
      <c r="D13" s="27">
        <v>-0.6</v>
      </c>
      <c r="E13" s="22">
        <v>540</v>
      </c>
      <c r="F13" s="22">
        <v>253</v>
      </c>
      <c r="G13" s="22">
        <v>8</v>
      </c>
      <c r="H13" s="25" t="s">
        <v>96</v>
      </c>
      <c r="I13" s="22">
        <v>412</v>
      </c>
      <c r="J13" s="22">
        <v>0.19</v>
      </c>
      <c r="K13" s="24">
        <f t="shared" si="0"/>
        <v>2.5000000000000001E-3</v>
      </c>
      <c r="L13" s="22">
        <v>0.83399999999999996</v>
      </c>
      <c r="M13" s="24">
        <f>0.5* 0.001</f>
        <v>5.0000000000000001E-4</v>
      </c>
      <c r="N13" s="22">
        <v>195</v>
      </c>
      <c r="O13" s="28">
        <f t="shared" si="3"/>
        <v>0</v>
      </c>
      <c r="P13" s="24">
        <f t="shared" si="5"/>
        <v>2.5000000000000001E-3</v>
      </c>
      <c r="Q13" s="24">
        <f t="shared" si="6"/>
        <v>2.5000000000000001E-3</v>
      </c>
      <c r="R13" s="24">
        <f t="shared" si="7"/>
        <v>0.25</v>
      </c>
      <c r="S13" s="25" t="s">
        <v>96</v>
      </c>
      <c r="T13" s="25" t="s">
        <v>96</v>
      </c>
      <c r="U13" s="50" t="s">
        <v>96</v>
      </c>
      <c r="V13" s="62" t="s">
        <v>96</v>
      </c>
      <c r="W13" s="58" t="s">
        <v>96</v>
      </c>
      <c r="X13" s="58" t="s">
        <v>96</v>
      </c>
      <c r="Y13" s="62" t="s">
        <v>96</v>
      </c>
      <c r="Z13" s="25" t="s">
        <v>96</v>
      </c>
      <c r="AA13" s="50" t="s">
        <v>96</v>
      </c>
      <c r="AB13" s="62" t="s">
        <v>96</v>
      </c>
      <c r="AC13" s="22">
        <v>1.2E-2</v>
      </c>
      <c r="AD13" s="22">
        <v>9.3299999999999998E-3</v>
      </c>
      <c r="AE13" s="22">
        <v>7.1000000000000002E-4</v>
      </c>
      <c r="AF13" s="24">
        <f t="shared" si="8"/>
        <v>5.0000000000000001E-3</v>
      </c>
      <c r="AG13" s="24">
        <f t="shared" si="4"/>
        <v>5.0000000000000001E-4</v>
      </c>
    </row>
    <row r="14" spans="1:33">
      <c r="A14" s="14"/>
      <c r="B14" s="15" t="s">
        <v>100</v>
      </c>
      <c r="C14" s="65"/>
      <c r="D14" s="118">
        <f t="shared" ref="D14:AG14" si="9">MIN(D2:D13)</f>
        <v>-0.7</v>
      </c>
      <c r="E14" s="29">
        <f t="shared" si="9"/>
        <v>275</v>
      </c>
      <c r="F14" s="30">
        <f t="shared" si="9"/>
        <v>123</v>
      </c>
      <c r="G14" s="30">
        <f t="shared" si="9"/>
        <v>7.95</v>
      </c>
      <c r="H14" s="29">
        <f t="shared" si="9"/>
        <v>1.5</v>
      </c>
      <c r="I14" s="16">
        <f t="shared" si="9"/>
        <v>214</v>
      </c>
      <c r="J14" s="30">
        <f t="shared" si="9"/>
        <v>0.14000000000000001</v>
      </c>
      <c r="K14" s="31">
        <f t="shared" si="9"/>
        <v>2.5000000000000001E-3</v>
      </c>
      <c r="L14" s="31">
        <f t="shared" si="9"/>
        <v>0.28399999999999997</v>
      </c>
      <c r="M14" s="31">
        <f t="shared" si="9"/>
        <v>5.0000000000000001E-4</v>
      </c>
      <c r="N14" s="30">
        <f t="shared" si="9"/>
        <v>56.2</v>
      </c>
      <c r="O14" s="31">
        <f t="shared" si="9"/>
        <v>0</v>
      </c>
      <c r="P14" s="31">
        <f t="shared" si="9"/>
        <v>2.5000000000000001E-3</v>
      </c>
      <c r="Q14" s="31">
        <f t="shared" si="9"/>
        <v>2.5000000000000001E-3</v>
      </c>
      <c r="R14" s="30">
        <f t="shared" si="9"/>
        <v>0.25</v>
      </c>
      <c r="S14" s="38">
        <f t="shared" si="9"/>
        <v>5.77E-3</v>
      </c>
      <c r="T14" s="31">
        <f t="shared" si="9"/>
        <v>1.1900000000000001E-2</v>
      </c>
      <c r="U14" s="53">
        <f t="shared" si="9"/>
        <v>6.9999999999999999E-6</v>
      </c>
      <c r="V14" s="64">
        <f t="shared" si="9"/>
        <v>6.6E-4</v>
      </c>
      <c r="W14" s="61">
        <f t="shared" si="9"/>
        <v>2.5000000000000001E-5</v>
      </c>
      <c r="X14" s="61">
        <f t="shared" si="9"/>
        <v>2.5000000000000002E-6</v>
      </c>
      <c r="Y14" s="64">
        <f t="shared" si="9"/>
        <v>2.2399999999999998E-3</v>
      </c>
      <c r="Z14" s="39">
        <f t="shared" si="9"/>
        <v>3.1900000000000001E-3</v>
      </c>
      <c r="AA14" s="53">
        <f t="shared" si="9"/>
        <v>2.5000000000000002E-6</v>
      </c>
      <c r="AB14" s="64">
        <f t="shared" si="9"/>
        <v>5.1000000000000004E-4</v>
      </c>
      <c r="AC14" s="38">
        <f t="shared" si="9"/>
        <v>1.15E-2</v>
      </c>
      <c r="AD14" s="40">
        <f t="shared" si="9"/>
        <v>1.0499999999999999E-3</v>
      </c>
      <c r="AE14" s="38">
        <f t="shared" si="9"/>
        <v>6.0999999999999997E-4</v>
      </c>
      <c r="AF14" s="31">
        <f t="shared" si="9"/>
        <v>2E-3</v>
      </c>
      <c r="AG14" s="38">
        <f t="shared" si="9"/>
        <v>2.5000000000000001E-4</v>
      </c>
    </row>
    <row r="15" spans="1:33">
      <c r="A15" s="14"/>
      <c r="B15" s="15" t="s">
        <v>101</v>
      </c>
      <c r="C15" s="65"/>
      <c r="D15" s="29">
        <f t="shared" ref="D15:AG15" si="10">MAX(D2:D13)</f>
        <v>14.8</v>
      </c>
      <c r="E15" s="29">
        <f t="shared" si="10"/>
        <v>714</v>
      </c>
      <c r="F15" s="30">
        <f t="shared" si="10"/>
        <v>382</v>
      </c>
      <c r="G15" s="30">
        <f t="shared" si="10"/>
        <v>8.1999999999999993</v>
      </c>
      <c r="H15" s="29">
        <f t="shared" si="10"/>
        <v>3.3</v>
      </c>
      <c r="I15" s="16">
        <f t="shared" si="10"/>
        <v>558</v>
      </c>
      <c r="J15" s="30">
        <f t="shared" si="10"/>
        <v>1.37</v>
      </c>
      <c r="K15" s="31">
        <f t="shared" si="10"/>
        <v>2.5000000000000001E-3</v>
      </c>
      <c r="L15" s="31">
        <f t="shared" si="10"/>
        <v>1.0900000000000001</v>
      </c>
      <c r="M15" s="31">
        <f t="shared" si="10"/>
        <v>5.0000000000000001E-4</v>
      </c>
      <c r="N15" s="30">
        <f t="shared" si="10"/>
        <v>281</v>
      </c>
      <c r="O15" s="31">
        <f t="shared" si="10"/>
        <v>3.2000000000000002E-3</v>
      </c>
      <c r="P15" s="31">
        <f t="shared" si="10"/>
        <v>2.5000000000000001E-3</v>
      </c>
      <c r="Q15" s="31">
        <f t="shared" si="10"/>
        <v>5.7000000000000002E-3</v>
      </c>
      <c r="R15" s="30">
        <f t="shared" si="10"/>
        <v>0.51</v>
      </c>
      <c r="S15" s="38">
        <f t="shared" si="10"/>
        <v>7.2900000000000006E-2</v>
      </c>
      <c r="T15" s="31">
        <f t="shared" si="10"/>
        <v>1.44E-2</v>
      </c>
      <c r="U15" s="53">
        <f t="shared" si="10"/>
        <v>2.1800000000000001E-5</v>
      </c>
      <c r="V15" s="64">
        <f t="shared" si="10"/>
        <v>1.48E-3</v>
      </c>
      <c r="W15" s="61">
        <f t="shared" si="10"/>
        <v>2.5000000000000001E-5</v>
      </c>
      <c r="X15" s="61">
        <f t="shared" si="10"/>
        <v>2.5000000000000002E-6</v>
      </c>
      <c r="Y15" s="64">
        <f t="shared" si="10"/>
        <v>3.9699999999999996E-3</v>
      </c>
      <c r="Z15" s="39">
        <f t="shared" si="10"/>
        <v>4.5399999999999998E-3</v>
      </c>
      <c r="AA15" s="53">
        <f t="shared" si="10"/>
        <v>5.0000000000000004E-6</v>
      </c>
      <c r="AB15" s="64">
        <f t="shared" si="10"/>
        <v>1.5E-3</v>
      </c>
      <c r="AC15" s="38">
        <f t="shared" si="10"/>
        <v>1.5800000000000002E-2</v>
      </c>
      <c r="AD15" s="40">
        <f t="shared" si="10"/>
        <v>1.8800000000000001E-2</v>
      </c>
      <c r="AE15" s="38">
        <f t="shared" si="10"/>
        <v>2.65E-3</v>
      </c>
      <c r="AF15" s="31">
        <f t="shared" si="10"/>
        <v>1.9E-2</v>
      </c>
      <c r="AG15" s="38">
        <f t="shared" si="10"/>
        <v>5.8E-4</v>
      </c>
    </row>
    <row r="16" spans="1:33">
      <c r="A16" s="14"/>
      <c r="B16" s="15" t="s">
        <v>102</v>
      </c>
      <c r="C16" s="65"/>
      <c r="D16" s="29">
        <f t="shared" ref="D16:AG16" si="11">AVERAGE(D2:D13)</f>
        <v>5.2916666666666661</v>
      </c>
      <c r="E16" s="29">
        <f t="shared" si="11"/>
        <v>510.08333333333331</v>
      </c>
      <c r="F16" s="30">
        <f t="shared" si="11"/>
        <v>256.08333333333331</v>
      </c>
      <c r="G16" s="30">
        <f t="shared" si="11"/>
        <v>8.0666666666666682</v>
      </c>
      <c r="H16" s="29">
        <f t="shared" si="11"/>
        <v>1.95</v>
      </c>
      <c r="I16" s="16">
        <f t="shared" si="11"/>
        <v>384.75</v>
      </c>
      <c r="J16" s="30">
        <f t="shared" si="11"/>
        <v>0.46333333333333332</v>
      </c>
      <c r="K16" s="31">
        <f t="shared" si="11"/>
        <v>2.4999999999999996E-3</v>
      </c>
      <c r="L16" s="31">
        <f t="shared" si="11"/>
        <v>0.83791666666666664</v>
      </c>
      <c r="M16" s="31">
        <f t="shared" si="11"/>
        <v>5.0000000000000012E-4</v>
      </c>
      <c r="N16" s="30">
        <f t="shared" si="11"/>
        <v>177.76666666666665</v>
      </c>
      <c r="O16" s="31">
        <f t="shared" si="11"/>
        <v>2.6666666666666668E-4</v>
      </c>
      <c r="P16" s="31">
        <f t="shared" si="11"/>
        <v>2.4999999999999996E-3</v>
      </c>
      <c r="Q16" s="31">
        <f t="shared" si="11"/>
        <v>2.766666666666666E-3</v>
      </c>
      <c r="R16" s="30">
        <f t="shared" si="11"/>
        <v>0.27166666666666667</v>
      </c>
      <c r="S16" s="38">
        <f t="shared" si="11"/>
        <v>2.7167500000000001E-2</v>
      </c>
      <c r="T16" s="31">
        <f t="shared" si="11"/>
        <v>1.3025E-2</v>
      </c>
      <c r="U16" s="53">
        <f t="shared" si="11"/>
        <v>1.1750000000000001E-5</v>
      </c>
      <c r="V16" s="64">
        <f t="shared" si="11"/>
        <v>1.0449999999999999E-3</v>
      </c>
      <c r="W16" s="61">
        <f t="shared" si="11"/>
        <v>2.5000000000000001E-5</v>
      </c>
      <c r="X16" s="61">
        <f t="shared" si="11"/>
        <v>2.5000000000000002E-6</v>
      </c>
      <c r="Y16" s="64">
        <f t="shared" si="11"/>
        <v>3.0049999999999999E-3</v>
      </c>
      <c r="Z16" s="39">
        <f t="shared" si="11"/>
        <v>3.8199999999999996E-3</v>
      </c>
      <c r="AA16" s="53">
        <f t="shared" si="11"/>
        <v>4.3750000000000005E-6</v>
      </c>
      <c r="AB16" s="64">
        <f t="shared" si="11"/>
        <v>1.2525000000000001E-3</v>
      </c>
      <c r="AC16" s="38">
        <f t="shared" si="11"/>
        <v>1.3200000000000002E-2</v>
      </c>
      <c r="AD16" s="40">
        <f t="shared" si="11"/>
        <v>7.5116666666666665E-3</v>
      </c>
      <c r="AE16" s="38">
        <f t="shared" si="11"/>
        <v>9.8749999999999988E-4</v>
      </c>
      <c r="AF16" s="31">
        <f t="shared" si="11"/>
        <v>7.2166666666666672E-3</v>
      </c>
      <c r="AG16" s="38">
        <f t="shared" si="11"/>
        <v>4.8583333333333351E-4</v>
      </c>
    </row>
    <row r="17" spans="1:33">
      <c r="A17" s="14"/>
      <c r="B17" s="15" t="s">
        <v>103</v>
      </c>
      <c r="C17" s="65"/>
      <c r="D17" s="29">
        <f t="shared" ref="D17:AG17" si="12">_xlfn.STDEV.P(D2:D13)</f>
        <v>5.7405659322249951</v>
      </c>
      <c r="E17" s="29">
        <f t="shared" si="12"/>
        <v>118.3310739220918</v>
      </c>
      <c r="F17" s="30">
        <f t="shared" si="12"/>
        <v>71.605933568540408</v>
      </c>
      <c r="G17" s="30">
        <f t="shared" si="12"/>
        <v>6.6374359172466077E-2</v>
      </c>
      <c r="H17" s="29">
        <f t="shared" si="12"/>
        <v>0.77942286340599498</v>
      </c>
      <c r="I17" s="16">
        <f t="shared" si="12"/>
        <v>97.037041896380998</v>
      </c>
      <c r="J17" s="30">
        <f t="shared" si="12"/>
        <v>0.3608631627393164</v>
      </c>
      <c r="K17" s="31">
        <f t="shared" si="12"/>
        <v>4.3368086899420177E-19</v>
      </c>
      <c r="L17" s="31">
        <f t="shared" si="12"/>
        <v>0.21905914662990553</v>
      </c>
      <c r="M17" s="31">
        <f t="shared" si="12"/>
        <v>1.0842021724855044E-19</v>
      </c>
      <c r="N17" s="30">
        <f t="shared" si="12"/>
        <v>58.655481888358587</v>
      </c>
      <c r="O17" s="31">
        <f t="shared" si="12"/>
        <v>8.8443327742810665E-4</v>
      </c>
      <c r="P17" s="31">
        <f t="shared" si="12"/>
        <v>4.3368086899420177E-19</v>
      </c>
      <c r="Q17" s="31">
        <f t="shared" si="12"/>
        <v>8.8443327742810665E-4</v>
      </c>
      <c r="R17" s="30">
        <f t="shared" si="12"/>
        <v>7.1860203791033694E-2</v>
      </c>
      <c r="S17" s="38">
        <f t="shared" si="12"/>
        <v>2.6701548059054558E-2</v>
      </c>
      <c r="T17" s="31">
        <f t="shared" si="12"/>
        <v>9.3641604001640157E-4</v>
      </c>
      <c r="U17" s="53">
        <f t="shared" si="12"/>
        <v>5.9734830710398781E-6</v>
      </c>
      <c r="V17" s="64">
        <f t="shared" si="12"/>
        <v>3.0971761331897155E-4</v>
      </c>
      <c r="W17" s="61">
        <f t="shared" si="12"/>
        <v>0</v>
      </c>
      <c r="X17" s="61">
        <f t="shared" si="12"/>
        <v>0</v>
      </c>
      <c r="Y17" s="64">
        <f t="shared" si="12"/>
        <v>6.7979776404457218E-4</v>
      </c>
      <c r="Z17" s="39">
        <f t="shared" si="12"/>
        <v>4.9884867444947661E-4</v>
      </c>
      <c r="AA17" s="53">
        <f t="shared" si="12"/>
        <v>1.0825317547305486E-6</v>
      </c>
      <c r="AB17" s="64">
        <f t="shared" si="12"/>
        <v>4.2868257487329713E-4</v>
      </c>
      <c r="AC17" s="38">
        <f t="shared" si="12"/>
        <v>1.2655697004379754E-3</v>
      </c>
      <c r="AD17" s="40">
        <f t="shared" si="12"/>
        <v>4.3996568679336304E-3</v>
      </c>
      <c r="AE17" s="38">
        <f t="shared" si="12"/>
        <v>5.4737441482042258E-4</v>
      </c>
      <c r="AF17" s="31">
        <f t="shared" si="12"/>
        <v>5.1299501838603526E-3</v>
      </c>
      <c r="AG17" s="38">
        <f t="shared" si="12"/>
        <v>7.4437706991968935E-5</v>
      </c>
    </row>
    <row r="18" spans="1:33" ht="12.75" customHeight="1">
      <c r="A18" s="17"/>
      <c r="B18" s="54" t="s">
        <v>112</v>
      </c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6"/>
    </row>
    <row r="19" spans="1:33" ht="12.75" customHeight="1">
      <c r="A19" s="17"/>
      <c r="B19" s="57" t="s">
        <v>117</v>
      </c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6"/>
    </row>
    <row r="20" spans="1:33" ht="12.75" customHeight="1">
      <c r="A20" s="17"/>
      <c r="B20" s="57" t="s">
        <v>114</v>
      </c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6"/>
    </row>
    <row r="21" spans="1:33" ht="12.75" customHeight="1">
      <c r="A21" s="17"/>
      <c r="B21" s="57" t="s">
        <v>108</v>
      </c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6"/>
    </row>
    <row r="22" spans="1:33" ht="12.75" customHeight="1">
      <c r="A22" s="18"/>
      <c r="B22" s="57" t="s">
        <v>115</v>
      </c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6"/>
    </row>
    <row r="23" spans="1:33" ht="12.75" customHeight="1"/>
  </sheetData>
  <printOptions horizontalCentered="1"/>
  <pageMargins left="0.25" right="0.25" top="1.0833333333333299" bottom="0.75" header="0.3" footer="0.3"/>
  <pageSetup orientation="landscape" r:id="rId1"/>
  <headerFooter alignWithMargins="0">
    <oddHeader>&amp;LBarrick Gold Inc. - Nickel Plate Mine&amp;C&amp;"-,Regular"&amp;18
Table 8 - CAHILL-3 (E206637) Data&amp;RAnnual Report, 2017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3"/>
  <sheetViews>
    <sheetView view="pageLayout" topLeftCell="A4" zoomScaleNormal="100" workbookViewId="0">
      <selection activeCell="B33" sqref="B33"/>
    </sheetView>
  </sheetViews>
  <sheetFormatPr defaultColWidth="9.1328125" defaultRowHeight="15.75"/>
  <cols>
    <col min="1" max="1" width="9.3984375" style="19" bestFit="1" customWidth="1"/>
    <col min="2" max="2" width="10.1328125" style="23" bestFit="1" customWidth="1"/>
    <col min="3" max="3" width="5.73046875" style="19" bestFit="1" customWidth="1"/>
    <col min="4" max="4" width="6.86328125" style="19" bestFit="1" customWidth="1"/>
    <col min="5" max="5" width="8" style="19" bestFit="1" customWidth="1"/>
    <col min="6" max="6" width="5.73046875" style="19" bestFit="1" customWidth="1"/>
    <col min="7" max="7" width="5.1328125" style="19" bestFit="1" customWidth="1"/>
    <col min="8" max="8" width="5.73046875" style="19" bestFit="1" customWidth="1"/>
    <col min="9" max="9" width="8.1328125" style="19" bestFit="1" customWidth="1"/>
    <col min="10" max="12" width="8" style="19" bestFit="1" customWidth="1"/>
    <col min="13" max="14" width="8.1328125" style="19" bestFit="1" customWidth="1"/>
    <col min="15" max="15" width="5.86328125" style="19" bestFit="1" customWidth="1"/>
    <col min="16" max="16" width="9.1328125" style="19" bestFit="1" customWidth="1"/>
    <col min="17" max="17" width="10.1328125" style="19" bestFit="1" customWidth="1"/>
    <col min="18" max="18" width="9.1328125" style="19" bestFit="1" customWidth="1"/>
    <col min="19" max="19" width="9.265625" style="19" bestFit="1" customWidth="1"/>
    <col min="20" max="16384" width="9.1328125" style="19"/>
  </cols>
  <sheetData>
    <row r="1" spans="1:19" ht="132">
      <c r="A1" s="1" t="s">
        <v>45</v>
      </c>
      <c r="B1" s="2" t="s">
        <v>46</v>
      </c>
      <c r="C1" s="5" t="s">
        <v>50</v>
      </c>
      <c r="D1" s="5" t="s">
        <v>51</v>
      </c>
      <c r="E1" s="13" t="s">
        <v>0</v>
      </c>
      <c r="F1" s="4" t="s">
        <v>52</v>
      </c>
      <c r="G1" s="13" t="s">
        <v>54</v>
      </c>
      <c r="H1" s="5" t="s">
        <v>55</v>
      </c>
      <c r="I1" s="12" t="s">
        <v>56</v>
      </c>
      <c r="J1" s="7" t="s">
        <v>57</v>
      </c>
      <c r="K1" s="5" t="s">
        <v>59</v>
      </c>
      <c r="L1" s="7" t="s">
        <v>105</v>
      </c>
      <c r="M1" s="7" t="s">
        <v>60</v>
      </c>
      <c r="N1" s="7" t="s">
        <v>61</v>
      </c>
      <c r="O1" s="4" t="s">
        <v>62</v>
      </c>
      <c r="P1" s="10" t="s">
        <v>82</v>
      </c>
      <c r="Q1" s="9" t="s">
        <v>85</v>
      </c>
      <c r="R1" s="10" t="s">
        <v>86</v>
      </c>
      <c r="S1" s="10" t="s">
        <v>95</v>
      </c>
    </row>
    <row r="2" spans="1:19">
      <c r="A2" s="20" t="s">
        <v>18</v>
      </c>
      <c r="B2" s="21">
        <v>42740.5</v>
      </c>
      <c r="C2" s="22">
        <v>-0.7</v>
      </c>
      <c r="D2" s="22">
        <v>153</v>
      </c>
      <c r="E2" s="22">
        <v>65.3</v>
      </c>
      <c r="F2" s="22">
        <v>7.72</v>
      </c>
      <c r="G2" s="22">
        <v>109</v>
      </c>
      <c r="H2" s="22">
        <v>0.49</v>
      </c>
      <c r="I2" s="24">
        <f t="shared" ref="I2:I9" si="0">0.5* 0.005</f>
        <v>2.5000000000000001E-3</v>
      </c>
      <c r="J2" s="22">
        <v>0.193</v>
      </c>
      <c r="K2" s="22">
        <v>22.2</v>
      </c>
      <c r="L2" s="28">
        <f>N2-M2</f>
        <v>0</v>
      </c>
      <c r="M2" s="24">
        <f t="shared" ref="M2:N13" si="1">0.5* 0.005</f>
        <v>2.5000000000000001E-3</v>
      </c>
      <c r="N2" s="24">
        <f t="shared" si="1"/>
        <v>2.5000000000000001E-3</v>
      </c>
      <c r="O2" s="24">
        <f>0.5* 0.5</f>
        <v>0.25</v>
      </c>
      <c r="P2" s="22">
        <v>1.6E-2</v>
      </c>
      <c r="Q2" s="22">
        <v>1.4999999999999999E-4</v>
      </c>
      <c r="R2" s="22">
        <v>7.6000000000000004E-4</v>
      </c>
      <c r="S2" s="24">
        <f>0.5* 0.0005</f>
        <v>2.5000000000000001E-4</v>
      </c>
    </row>
    <row r="3" spans="1:19">
      <c r="A3" s="20" t="s">
        <v>18</v>
      </c>
      <c r="B3" s="21">
        <v>42774.5</v>
      </c>
      <c r="C3" s="22">
        <v>-0.6</v>
      </c>
      <c r="D3" s="22">
        <v>202</v>
      </c>
      <c r="E3" s="22">
        <v>91.5</v>
      </c>
      <c r="F3" s="22">
        <v>7.89</v>
      </c>
      <c r="G3" s="22">
        <v>151</v>
      </c>
      <c r="H3" s="22">
        <v>0.56000000000000005</v>
      </c>
      <c r="I3" s="24">
        <f t="shared" si="0"/>
        <v>2.5000000000000001E-3</v>
      </c>
      <c r="J3" s="22">
        <v>0.28499999999999998</v>
      </c>
      <c r="K3" s="22">
        <v>40.299999999999997</v>
      </c>
      <c r="L3" s="28">
        <f t="shared" ref="L3:L13" si="2">N3-M3</f>
        <v>0</v>
      </c>
      <c r="M3" s="24">
        <f t="shared" si="1"/>
        <v>2.5000000000000001E-3</v>
      </c>
      <c r="N3" s="24">
        <f t="shared" si="1"/>
        <v>2.5000000000000001E-3</v>
      </c>
      <c r="O3" s="24">
        <f>0.5* 0.5</f>
        <v>0.25</v>
      </c>
      <c r="P3" s="22">
        <v>1.3899999999999999E-2</v>
      </c>
      <c r="Q3" s="22">
        <v>5.6800000000000004E-4</v>
      </c>
      <c r="R3" s="22">
        <v>6.4000000000000005E-4</v>
      </c>
      <c r="S3" s="24">
        <f>0.5* 0.0005</f>
        <v>2.5000000000000001E-4</v>
      </c>
    </row>
    <row r="4" spans="1:19">
      <c r="A4" s="20" t="s">
        <v>18</v>
      </c>
      <c r="B4" s="21">
        <v>42801.5</v>
      </c>
      <c r="C4" s="22">
        <v>-0.4</v>
      </c>
      <c r="D4" s="22">
        <v>157</v>
      </c>
      <c r="E4" s="22">
        <v>71.8</v>
      </c>
      <c r="F4" s="22">
        <v>7.83</v>
      </c>
      <c r="G4" s="22">
        <v>116</v>
      </c>
      <c r="H4" s="22">
        <v>0.32</v>
      </c>
      <c r="I4" s="24">
        <f t="shared" si="0"/>
        <v>2.5000000000000001E-3</v>
      </c>
      <c r="J4" s="22">
        <v>0.192</v>
      </c>
      <c r="K4" s="22">
        <v>24.1</v>
      </c>
      <c r="L4" s="28">
        <f t="shared" si="2"/>
        <v>0</v>
      </c>
      <c r="M4" s="24">
        <f t="shared" si="1"/>
        <v>2.5000000000000001E-3</v>
      </c>
      <c r="N4" s="24">
        <f t="shared" si="1"/>
        <v>2.5000000000000001E-3</v>
      </c>
      <c r="O4" s="24">
        <f>0.5* 0.5</f>
        <v>0.25</v>
      </c>
      <c r="P4" s="22">
        <v>1.2500000000000001E-2</v>
      </c>
      <c r="Q4" s="24">
        <f>0.5* 0.0001</f>
        <v>5.0000000000000002E-5</v>
      </c>
      <c r="R4" s="22">
        <v>6.6E-4</v>
      </c>
      <c r="S4" s="24">
        <f>0.5* 0.001</f>
        <v>5.0000000000000001E-4</v>
      </c>
    </row>
    <row r="5" spans="1:19">
      <c r="A5" s="20" t="s">
        <v>18</v>
      </c>
      <c r="B5" s="21">
        <v>42830.5</v>
      </c>
      <c r="C5" s="22">
        <v>-0.3</v>
      </c>
      <c r="D5" s="22">
        <v>177</v>
      </c>
      <c r="E5" s="22">
        <v>81.5</v>
      </c>
      <c r="F5" s="22">
        <v>7.89</v>
      </c>
      <c r="G5" s="22">
        <v>126</v>
      </c>
      <c r="H5" s="22">
        <v>0.56999999999999995</v>
      </c>
      <c r="I5" s="24">
        <f t="shared" si="0"/>
        <v>2.5000000000000001E-3</v>
      </c>
      <c r="J5" s="22">
        <v>0.24299999999999999</v>
      </c>
      <c r="K5" s="22">
        <v>34</v>
      </c>
      <c r="L5" s="28">
        <f t="shared" si="2"/>
        <v>0</v>
      </c>
      <c r="M5" s="24">
        <f t="shared" si="1"/>
        <v>2.5000000000000001E-3</v>
      </c>
      <c r="N5" s="24">
        <f t="shared" si="1"/>
        <v>2.5000000000000001E-3</v>
      </c>
      <c r="O5" s="24">
        <f>0.5* 0.5</f>
        <v>0.25</v>
      </c>
      <c r="P5" s="22">
        <v>1.11E-2</v>
      </c>
      <c r="Q5" s="22">
        <v>2.5999999999999998E-4</v>
      </c>
      <c r="R5" s="22">
        <v>9.6000000000000002E-4</v>
      </c>
      <c r="S5" s="22">
        <v>1.6999999999999999E-3</v>
      </c>
    </row>
    <row r="6" spans="1:19">
      <c r="A6" s="20" t="s">
        <v>18</v>
      </c>
      <c r="B6" s="21">
        <v>42858</v>
      </c>
      <c r="C6" s="22">
        <v>-0.1</v>
      </c>
      <c r="D6" s="22">
        <v>134</v>
      </c>
      <c r="E6" s="22">
        <v>60.1</v>
      </c>
      <c r="F6" s="22">
        <v>7.76</v>
      </c>
      <c r="G6" s="22">
        <v>116</v>
      </c>
      <c r="H6" s="22">
        <v>2.12</v>
      </c>
      <c r="I6" s="24">
        <f t="shared" si="0"/>
        <v>2.5000000000000001E-3</v>
      </c>
      <c r="J6" s="22">
        <v>0.14699999999999999</v>
      </c>
      <c r="K6" s="22">
        <v>14.1</v>
      </c>
      <c r="L6" s="28">
        <f t="shared" si="2"/>
        <v>0</v>
      </c>
      <c r="M6" s="24">
        <f t="shared" si="1"/>
        <v>2.5000000000000001E-3</v>
      </c>
      <c r="N6" s="24">
        <f t="shared" si="1"/>
        <v>2.5000000000000001E-3</v>
      </c>
      <c r="O6" s="24">
        <f>0.5* 0.5</f>
        <v>0.25</v>
      </c>
      <c r="P6" s="22">
        <v>7.8700000000000003E-3</v>
      </c>
      <c r="Q6" s="24">
        <f>0.5* 0.0001</f>
        <v>5.0000000000000002E-5</v>
      </c>
      <c r="R6" s="22">
        <v>2.4199999999999998E-3</v>
      </c>
      <c r="S6" s="24">
        <f t="shared" ref="S6:S13" si="3">0.5* 0.001</f>
        <v>5.0000000000000001E-4</v>
      </c>
    </row>
    <row r="7" spans="1:19">
      <c r="A7" s="20" t="s">
        <v>18</v>
      </c>
      <c r="B7" s="21">
        <v>42893.5</v>
      </c>
      <c r="C7" s="22">
        <v>8.1</v>
      </c>
      <c r="D7" s="22">
        <v>224</v>
      </c>
      <c r="E7" s="25" t="s">
        <v>96</v>
      </c>
      <c r="F7" s="22">
        <v>7.84</v>
      </c>
      <c r="G7" s="22">
        <v>169</v>
      </c>
      <c r="H7" s="22">
        <v>0.55000000000000004</v>
      </c>
      <c r="I7" s="24">
        <f t="shared" si="0"/>
        <v>2.5000000000000001E-3</v>
      </c>
      <c r="J7" s="22">
        <v>0.42699999999999999</v>
      </c>
      <c r="K7" s="22">
        <v>64</v>
      </c>
      <c r="L7" s="28">
        <f t="shared" si="2"/>
        <v>0</v>
      </c>
      <c r="M7" s="24">
        <f t="shared" si="1"/>
        <v>2.5000000000000001E-3</v>
      </c>
      <c r="N7" s="24">
        <f t="shared" si="1"/>
        <v>2.5000000000000001E-3</v>
      </c>
      <c r="O7" s="22">
        <v>0.55000000000000004</v>
      </c>
      <c r="P7" s="22">
        <v>1.5800000000000002E-2</v>
      </c>
      <c r="Q7" s="22">
        <v>1.6000000000000001E-4</v>
      </c>
      <c r="R7" s="22">
        <v>1.5E-3</v>
      </c>
      <c r="S7" s="24">
        <f t="shared" si="3"/>
        <v>5.0000000000000001E-4</v>
      </c>
    </row>
    <row r="8" spans="1:19">
      <c r="A8" s="20" t="s">
        <v>18</v>
      </c>
      <c r="B8" s="21">
        <v>42921.5</v>
      </c>
      <c r="C8" s="22">
        <v>8.1999999999999993</v>
      </c>
      <c r="D8" s="22">
        <v>132</v>
      </c>
      <c r="E8" s="22">
        <v>56.1</v>
      </c>
      <c r="F8" s="22">
        <v>7.83</v>
      </c>
      <c r="G8" s="22">
        <v>106</v>
      </c>
      <c r="H8" s="22">
        <v>0.33</v>
      </c>
      <c r="I8" s="24">
        <f t="shared" si="0"/>
        <v>2.5000000000000001E-3</v>
      </c>
      <c r="J8" s="22">
        <v>0.10100000000000001</v>
      </c>
      <c r="K8" s="22">
        <v>17</v>
      </c>
      <c r="L8" s="28">
        <f t="shared" si="2"/>
        <v>0</v>
      </c>
      <c r="M8" s="24">
        <f t="shared" si="1"/>
        <v>2.5000000000000001E-3</v>
      </c>
      <c r="N8" s="24">
        <f t="shared" si="1"/>
        <v>2.5000000000000001E-3</v>
      </c>
      <c r="O8" s="24">
        <f t="shared" ref="O8:O13" si="4">0.5* 0.5</f>
        <v>0.25</v>
      </c>
      <c r="P8" s="22">
        <v>1.7000000000000001E-2</v>
      </c>
      <c r="Q8" s="24">
        <f>0.5* 0.0001</f>
        <v>5.0000000000000002E-5</v>
      </c>
      <c r="R8" s="22">
        <v>1.1000000000000001E-3</v>
      </c>
      <c r="S8" s="24">
        <f t="shared" si="3"/>
        <v>5.0000000000000001E-4</v>
      </c>
    </row>
    <row r="9" spans="1:19">
      <c r="A9" s="20" t="s">
        <v>18</v>
      </c>
      <c r="B9" s="21">
        <v>42949</v>
      </c>
      <c r="C9" s="22">
        <v>9.5</v>
      </c>
      <c r="D9" s="22">
        <v>174</v>
      </c>
      <c r="E9" s="22">
        <v>74.099999999999994</v>
      </c>
      <c r="F9" s="22">
        <v>7.92</v>
      </c>
      <c r="G9" s="22">
        <v>133</v>
      </c>
      <c r="H9" s="22">
        <v>0.23</v>
      </c>
      <c r="I9" s="24">
        <f t="shared" si="0"/>
        <v>2.5000000000000001E-3</v>
      </c>
      <c r="J9" s="22">
        <v>0.106</v>
      </c>
      <c r="K9" s="22">
        <v>28.1</v>
      </c>
      <c r="L9" s="28">
        <f t="shared" si="2"/>
        <v>0</v>
      </c>
      <c r="M9" s="24">
        <f t="shared" si="1"/>
        <v>2.5000000000000001E-3</v>
      </c>
      <c r="N9" s="24">
        <f t="shared" si="1"/>
        <v>2.5000000000000001E-3</v>
      </c>
      <c r="O9" s="24">
        <f t="shared" si="4"/>
        <v>0.25</v>
      </c>
      <c r="P9" s="22">
        <v>1.9300000000000001E-2</v>
      </c>
      <c r="Q9" s="24">
        <f>0.5* 0.0001</f>
        <v>5.0000000000000002E-5</v>
      </c>
      <c r="R9" s="22">
        <v>7.7999999999999999E-4</v>
      </c>
      <c r="S9" s="24">
        <f t="shared" si="3"/>
        <v>5.0000000000000001E-4</v>
      </c>
    </row>
    <row r="10" spans="1:19">
      <c r="A10" s="20" t="s">
        <v>18</v>
      </c>
      <c r="B10" s="21">
        <v>42984</v>
      </c>
      <c r="C10" s="22">
        <v>11.2</v>
      </c>
      <c r="D10" s="22">
        <v>204</v>
      </c>
      <c r="E10" s="22">
        <v>95.5</v>
      </c>
      <c r="F10" s="22">
        <v>7.86</v>
      </c>
      <c r="G10" s="22">
        <v>165</v>
      </c>
      <c r="H10" s="22">
        <v>0.27</v>
      </c>
      <c r="I10" s="22">
        <v>5.3E-3</v>
      </c>
      <c r="J10" s="22">
        <v>0.11899999999999999</v>
      </c>
      <c r="K10" s="22">
        <v>36.5</v>
      </c>
      <c r="L10" s="28">
        <f t="shared" si="2"/>
        <v>0</v>
      </c>
      <c r="M10" s="24">
        <f t="shared" si="1"/>
        <v>2.5000000000000001E-3</v>
      </c>
      <c r="N10" s="24">
        <f t="shared" si="1"/>
        <v>2.5000000000000001E-3</v>
      </c>
      <c r="O10" s="24">
        <f t="shared" si="4"/>
        <v>0.25</v>
      </c>
      <c r="P10" s="22">
        <v>2.1499999999999998E-2</v>
      </c>
      <c r="Q10" s="24">
        <f>0.5* 0.0001</f>
        <v>5.0000000000000002E-5</v>
      </c>
      <c r="R10" s="22">
        <v>8.0000000000000004E-4</v>
      </c>
      <c r="S10" s="24">
        <f t="shared" si="3"/>
        <v>5.0000000000000001E-4</v>
      </c>
    </row>
    <row r="11" spans="1:19">
      <c r="A11" s="20" t="s">
        <v>18</v>
      </c>
      <c r="B11" s="21">
        <v>43012</v>
      </c>
      <c r="C11" s="22">
        <v>1.2</v>
      </c>
      <c r="D11" s="22">
        <v>224</v>
      </c>
      <c r="E11" s="22">
        <v>101</v>
      </c>
      <c r="F11" s="22">
        <v>7.92</v>
      </c>
      <c r="G11" s="22">
        <v>155</v>
      </c>
      <c r="H11" s="22">
        <v>0.18</v>
      </c>
      <c r="I11" s="24">
        <f>0.5* 0.005</f>
        <v>2.5000000000000001E-3</v>
      </c>
      <c r="J11" s="22">
        <v>0.16300000000000001</v>
      </c>
      <c r="K11" s="22">
        <v>46.8</v>
      </c>
      <c r="L11" s="28">
        <f t="shared" si="2"/>
        <v>0</v>
      </c>
      <c r="M11" s="24">
        <f t="shared" si="1"/>
        <v>2.5000000000000001E-3</v>
      </c>
      <c r="N11" s="24">
        <f t="shared" si="1"/>
        <v>2.5000000000000001E-3</v>
      </c>
      <c r="O11" s="24">
        <f t="shared" si="4"/>
        <v>0.25</v>
      </c>
      <c r="P11" s="22">
        <v>1.5299999999999999E-2</v>
      </c>
      <c r="Q11" s="22">
        <v>1.9000000000000001E-4</v>
      </c>
      <c r="R11" s="22">
        <v>6.6E-4</v>
      </c>
      <c r="S11" s="24">
        <f t="shared" si="3"/>
        <v>5.0000000000000001E-4</v>
      </c>
    </row>
    <row r="12" spans="1:19">
      <c r="A12" s="20" t="s">
        <v>18</v>
      </c>
      <c r="B12" s="21">
        <v>43047.5</v>
      </c>
      <c r="C12" s="22">
        <v>-0.7</v>
      </c>
      <c r="D12" s="22">
        <v>350</v>
      </c>
      <c r="E12" s="22">
        <v>167</v>
      </c>
      <c r="F12" s="22">
        <v>8.06</v>
      </c>
      <c r="G12" s="22">
        <v>246</v>
      </c>
      <c r="H12" s="22">
        <v>0.19</v>
      </c>
      <c r="I12" s="24">
        <f>0.5* 0.005</f>
        <v>2.5000000000000001E-3</v>
      </c>
      <c r="J12" s="22">
        <v>0.53200000000000003</v>
      </c>
      <c r="K12" s="22">
        <v>107</v>
      </c>
      <c r="L12" s="28">
        <f t="shared" si="2"/>
        <v>0</v>
      </c>
      <c r="M12" s="24">
        <f t="shared" si="1"/>
        <v>2.5000000000000001E-3</v>
      </c>
      <c r="N12" s="24">
        <f t="shared" si="1"/>
        <v>2.5000000000000001E-3</v>
      </c>
      <c r="O12" s="24">
        <f t="shared" si="4"/>
        <v>0.25</v>
      </c>
      <c r="P12" s="22">
        <v>1.32E-2</v>
      </c>
      <c r="Q12" s="22">
        <v>8.8000000000000003E-4</v>
      </c>
      <c r="R12" s="22">
        <v>6.7000000000000002E-4</v>
      </c>
      <c r="S12" s="24">
        <f t="shared" si="3"/>
        <v>5.0000000000000001E-4</v>
      </c>
    </row>
    <row r="13" spans="1:19">
      <c r="A13" s="20" t="s">
        <v>18</v>
      </c>
      <c r="B13" s="21">
        <v>43075.5</v>
      </c>
      <c r="C13" s="22">
        <v>-0.5</v>
      </c>
      <c r="D13" s="22">
        <v>372</v>
      </c>
      <c r="E13" s="22">
        <v>183</v>
      </c>
      <c r="F13" s="22">
        <v>7.82</v>
      </c>
      <c r="G13" s="22">
        <v>280</v>
      </c>
      <c r="H13" s="22">
        <v>0.21</v>
      </c>
      <c r="I13" s="24">
        <f>0.5* 0.005</f>
        <v>2.5000000000000001E-3</v>
      </c>
      <c r="J13" s="22">
        <v>0.66100000000000003</v>
      </c>
      <c r="K13" s="22">
        <v>120</v>
      </c>
      <c r="L13" s="28">
        <f t="shared" si="2"/>
        <v>0</v>
      </c>
      <c r="M13" s="24">
        <f t="shared" si="1"/>
        <v>2.5000000000000001E-3</v>
      </c>
      <c r="N13" s="24">
        <f t="shared" si="1"/>
        <v>2.5000000000000001E-3</v>
      </c>
      <c r="O13" s="24">
        <f t="shared" si="4"/>
        <v>0.25</v>
      </c>
      <c r="P13" s="22">
        <v>1.4500000000000001E-2</v>
      </c>
      <c r="Q13" s="22">
        <v>1.14E-3</v>
      </c>
      <c r="R13" s="22">
        <v>6.8999999999999997E-4</v>
      </c>
      <c r="S13" s="24">
        <f t="shared" si="3"/>
        <v>5.0000000000000001E-4</v>
      </c>
    </row>
    <row r="14" spans="1:19">
      <c r="A14" s="14"/>
      <c r="B14" s="15" t="s">
        <v>100</v>
      </c>
      <c r="C14" s="66">
        <f t="shared" ref="C14:S14" si="5">MIN(C2:C13)</f>
        <v>-0.7</v>
      </c>
      <c r="D14" s="29">
        <f t="shared" si="5"/>
        <v>132</v>
      </c>
      <c r="E14" s="30">
        <f t="shared" si="5"/>
        <v>56.1</v>
      </c>
      <c r="F14" s="30">
        <f t="shared" si="5"/>
        <v>7.72</v>
      </c>
      <c r="G14" s="16">
        <f t="shared" si="5"/>
        <v>106</v>
      </c>
      <c r="H14" s="30">
        <f t="shared" si="5"/>
        <v>0.18</v>
      </c>
      <c r="I14" s="31">
        <f t="shared" si="5"/>
        <v>2.5000000000000001E-3</v>
      </c>
      <c r="J14" s="31">
        <f t="shared" si="5"/>
        <v>0.10100000000000001</v>
      </c>
      <c r="K14" s="30">
        <f t="shared" si="5"/>
        <v>14.1</v>
      </c>
      <c r="L14" s="31">
        <f t="shared" si="5"/>
        <v>0</v>
      </c>
      <c r="M14" s="31">
        <f t="shared" si="5"/>
        <v>2.5000000000000001E-3</v>
      </c>
      <c r="N14" s="31">
        <f t="shared" si="5"/>
        <v>2.5000000000000001E-3</v>
      </c>
      <c r="O14" s="30">
        <f t="shared" si="5"/>
        <v>0.25</v>
      </c>
      <c r="P14" s="38">
        <f t="shared" si="5"/>
        <v>7.8700000000000003E-3</v>
      </c>
      <c r="Q14" s="38">
        <f t="shared" si="5"/>
        <v>5.0000000000000002E-5</v>
      </c>
      <c r="R14" s="38">
        <f t="shared" si="5"/>
        <v>6.4000000000000005E-4</v>
      </c>
      <c r="S14" s="38">
        <f t="shared" si="5"/>
        <v>2.5000000000000001E-4</v>
      </c>
    </row>
    <row r="15" spans="1:19">
      <c r="A15" s="14"/>
      <c r="B15" s="15" t="s">
        <v>101</v>
      </c>
      <c r="C15" s="29">
        <f t="shared" ref="C15:S15" si="6">MAX(C2:C13)</f>
        <v>11.2</v>
      </c>
      <c r="D15" s="29">
        <f t="shared" si="6"/>
        <v>372</v>
      </c>
      <c r="E15" s="30">
        <f t="shared" si="6"/>
        <v>183</v>
      </c>
      <c r="F15" s="30">
        <f t="shared" si="6"/>
        <v>8.06</v>
      </c>
      <c r="G15" s="16">
        <f t="shared" si="6"/>
        <v>280</v>
      </c>
      <c r="H15" s="30">
        <f t="shared" si="6"/>
        <v>2.12</v>
      </c>
      <c r="I15" s="31">
        <f t="shared" si="6"/>
        <v>5.3E-3</v>
      </c>
      <c r="J15" s="31">
        <f t="shared" si="6"/>
        <v>0.66100000000000003</v>
      </c>
      <c r="K15" s="30">
        <f t="shared" si="6"/>
        <v>120</v>
      </c>
      <c r="L15" s="31">
        <f t="shared" si="6"/>
        <v>0</v>
      </c>
      <c r="M15" s="31">
        <f t="shared" si="6"/>
        <v>2.5000000000000001E-3</v>
      </c>
      <c r="N15" s="31">
        <f t="shared" si="6"/>
        <v>2.5000000000000001E-3</v>
      </c>
      <c r="O15" s="30">
        <f t="shared" si="6"/>
        <v>0.55000000000000004</v>
      </c>
      <c r="P15" s="38">
        <f t="shared" si="6"/>
        <v>2.1499999999999998E-2</v>
      </c>
      <c r="Q15" s="38">
        <f t="shared" si="6"/>
        <v>1.14E-3</v>
      </c>
      <c r="R15" s="38">
        <f t="shared" si="6"/>
        <v>2.4199999999999998E-3</v>
      </c>
      <c r="S15" s="38">
        <f t="shared" si="6"/>
        <v>1.6999999999999999E-3</v>
      </c>
    </row>
    <row r="16" spans="1:19">
      <c r="A16" s="14"/>
      <c r="B16" s="15" t="s">
        <v>102</v>
      </c>
      <c r="C16" s="29">
        <f t="shared" ref="C16:S16" si="7">AVERAGE(C2:C13)</f>
        <v>2.9083333333333332</v>
      </c>
      <c r="D16" s="29">
        <f t="shared" si="7"/>
        <v>208.58333333333334</v>
      </c>
      <c r="E16" s="30">
        <f t="shared" si="7"/>
        <v>95.172727272727286</v>
      </c>
      <c r="F16" s="30">
        <f t="shared" si="7"/>
        <v>7.8616666666666672</v>
      </c>
      <c r="G16" s="16">
        <f t="shared" si="7"/>
        <v>156</v>
      </c>
      <c r="H16" s="30">
        <f t="shared" si="7"/>
        <v>0.50166666666666682</v>
      </c>
      <c r="I16" s="31">
        <f t="shared" si="7"/>
        <v>2.7333333333333328E-3</v>
      </c>
      <c r="J16" s="31">
        <f t="shared" si="7"/>
        <v>0.26408333333333334</v>
      </c>
      <c r="K16" s="30">
        <f t="shared" si="7"/>
        <v>46.17499999999999</v>
      </c>
      <c r="L16" s="31">
        <f t="shared" si="7"/>
        <v>0</v>
      </c>
      <c r="M16" s="31">
        <f t="shared" si="7"/>
        <v>2.4999999999999996E-3</v>
      </c>
      <c r="N16" s="31">
        <f t="shared" si="7"/>
        <v>2.4999999999999996E-3</v>
      </c>
      <c r="O16" s="30">
        <f t="shared" si="7"/>
        <v>0.27499999999999997</v>
      </c>
      <c r="P16" s="38">
        <f t="shared" si="7"/>
        <v>1.4830833333333335E-2</v>
      </c>
      <c r="Q16" s="38">
        <f t="shared" si="7"/>
        <v>2.9983333333333332E-4</v>
      </c>
      <c r="R16" s="38">
        <f t="shared" si="7"/>
        <v>9.7000000000000005E-4</v>
      </c>
      <c r="S16" s="38">
        <f t="shared" si="7"/>
        <v>5.5833333333333353E-4</v>
      </c>
    </row>
    <row r="17" spans="1:19">
      <c r="A17" s="14"/>
      <c r="B17" s="15" t="s">
        <v>103</v>
      </c>
      <c r="C17" s="29">
        <f t="shared" ref="C17:S17" si="8">_xlfn.STDEV.P(C2:C13)</f>
        <v>4.5673585242335513</v>
      </c>
      <c r="D17" s="29">
        <f t="shared" si="8"/>
        <v>74.506664504294889</v>
      </c>
      <c r="E17" s="30">
        <f t="shared" si="8"/>
        <v>40.16645119565446</v>
      </c>
      <c r="F17" s="30">
        <f t="shared" si="8"/>
        <v>8.2848590144243908E-2</v>
      </c>
      <c r="G17" s="16">
        <f t="shared" si="8"/>
        <v>52.511903412464491</v>
      </c>
      <c r="H17" s="30">
        <f t="shared" si="8"/>
        <v>0.50868840058417786</v>
      </c>
      <c r="I17" s="31">
        <f t="shared" si="8"/>
        <v>7.7387911774959327E-4</v>
      </c>
      <c r="J17" s="31">
        <f t="shared" si="8"/>
        <v>0.17405863874632088</v>
      </c>
      <c r="K17" s="30">
        <f t="shared" si="8"/>
        <v>32.930586719137999</v>
      </c>
      <c r="L17" s="31">
        <f t="shared" si="8"/>
        <v>0</v>
      </c>
      <c r="M17" s="31">
        <f t="shared" si="8"/>
        <v>4.3368086899420177E-19</v>
      </c>
      <c r="N17" s="31">
        <f t="shared" si="8"/>
        <v>4.3368086899420177E-19</v>
      </c>
      <c r="O17" s="30">
        <f t="shared" si="8"/>
        <v>8.2915619758885006E-2</v>
      </c>
      <c r="P17" s="38">
        <f t="shared" si="8"/>
        <v>3.4535427663326956E-3</v>
      </c>
      <c r="Q17" s="38">
        <f t="shared" si="8"/>
        <v>3.5144033000717996E-4</v>
      </c>
      <c r="R17" s="38">
        <f t="shared" si="8"/>
        <v>4.9824692673412448E-4</v>
      </c>
      <c r="S17" s="38">
        <f t="shared" si="8"/>
        <v>3.56390079672385E-4</v>
      </c>
    </row>
    <row r="18" spans="1:19" ht="12.75" customHeight="1">
      <c r="A18" s="17"/>
      <c r="B18" s="131" t="s">
        <v>112</v>
      </c>
      <c r="C18" s="130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</row>
    <row r="19" spans="1:19" ht="12.75" customHeight="1">
      <c r="A19" s="17"/>
      <c r="B19" s="130" t="s">
        <v>117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</row>
    <row r="20" spans="1:19" ht="12.75" customHeight="1">
      <c r="A20" s="17"/>
      <c r="B20" s="130" t="s">
        <v>114</v>
      </c>
      <c r="C20" s="130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</row>
    <row r="21" spans="1:19" ht="12.75" customHeight="1">
      <c r="A21" s="17"/>
      <c r="B21" s="130" t="s">
        <v>108</v>
      </c>
      <c r="C21" s="130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</row>
    <row r="22" spans="1:19" ht="12.75" customHeight="1">
      <c r="A22" s="18"/>
      <c r="B22" s="130" t="s">
        <v>115</v>
      </c>
      <c r="C22" s="130"/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</row>
    <row r="23" spans="1:19" ht="12.75" customHeight="1"/>
  </sheetData>
  <mergeCells count="5">
    <mergeCell ref="B22:S22"/>
    <mergeCell ref="B18:S18"/>
    <mergeCell ref="B19:S19"/>
    <mergeCell ref="B20:S20"/>
    <mergeCell ref="B21:S21"/>
  </mergeCells>
  <printOptions horizontalCentered="1"/>
  <pageMargins left="0.25" right="0.25" top="1.0833333333333299" bottom="0.75" header="0.3" footer="0.3"/>
  <pageSetup orientation="landscape" r:id="rId1"/>
  <headerFooter alignWithMargins="0">
    <oddHeader>&amp;LBarrick Gold Inc. - Nickel Plate Mine&amp;C&amp;"-,Regular"&amp;18
Table 9 - CAHILL-4 (E206823) Data&amp;RAnnual Report, 2017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3"/>
  <sheetViews>
    <sheetView view="pageLayout" zoomScaleNormal="100" workbookViewId="0">
      <selection activeCell="B33" sqref="B33"/>
    </sheetView>
  </sheetViews>
  <sheetFormatPr defaultColWidth="9.1328125" defaultRowHeight="15.75"/>
  <cols>
    <col min="1" max="1" width="10.59765625" style="19" bestFit="1" customWidth="1"/>
    <col min="2" max="2" width="11" style="23" bestFit="1" customWidth="1"/>
    <col min="3" max="3" width="8.59765625" style="19" bestFit="1" customWidth="1"/>
    <col min="4" max="4" width="9.73046875" style="19" bestFit="1" customWidth="1"/>
    <col min="5" max="5" width="5.73046875" style="19" bestFit="1" customWidth="1"/>
    <col min="6" max="6" width="9.1328125" style="19" bestFit="1" customWidth="1"/>
    <col min="7" max="7" width="8" style="19" bestFit="1" customWidth="1"/>
    <col min="8" max="8" width="9.73046875" style="19" bestFit="1" customWidth="1"/>
    <col min="9" max="12" width="8" style="19" bestFit="1" customWidth="1"/>
    <col min="13" max="13" width="6.86328125" style="70" bestFit="1" customWidth="1"/>
    <col min="14" max="14" width="9.1328125" style="19" bestFit="1" customWidth="1"/>
    <col min="15" max="15" width="8" style="19" bestFit="1" customWidth="1"/>
    <col min="16" max="16384" width="9.1328125" style="19"/>
  </cols>
  <sheetData>
    <row r="1" spans="1:15" ht="132">
      <c r="A1" s="1" t="s">
        <v>45</v>
      </c>
      <c r="B1" s="2" t="s">
        <v>46</v>
      </c>
      <c r="C1" s="5" t="s">
        <v>51</v>
      </c>
      <c r="D1" s="13" t="s">
        <v>0</v>
      </c>
      <c r="E1" s="4" t="s">
        <v>52</v>
      </c>
      <c r="F1" s="32" t="s">
        <v>56</v>
      </c>
      <c r="G1" s="7" t="s">
        <v>57</v>
      </c>
      <c r="H1" s="5" t="s">
        <v>59</v>
      </c>
      <c r="I1" s="7" t="s">
        <v>105</v>
      </c>
      <c r="J1" s="7" t="s">
        <v>60</v>
      </c>
      <c r="K1" s="7" t="s">
        <v>61</v>
      </c>
      <c r="L1" s="4" t="s">
        <v>62</v>
      </c>
      <c r="M1" s="32" t="s">
        <v>85</v>
      </c>
      <c r="N1" s="10" t="s">
        <v>86</v>
      </c>
      <c r="O1" s="7" t="s">
        <v>87</v>
      </c>
    </row>
    <row r="2" spans="1:15">
      <c r="A2" s="20" t="s">
        <v>8</v>
      </c>
      <c r="B2" s="21">
        <v>42740.5</v>
      </c>
      <c r="C2" s="22">
        <v>3880</v>
      </c>
      <c r="D2" s="22">
        <v>1380</v>
      </c>
      <c r="E2" s="22">
        <v>7.47</v>
      </c>
      <c r="F2" s="22">
        <v>32.200000000000003</v>
      </c>
      <c r="G2" s="22">
        <v>0.36</v>
      </c>
      <c r="H2" s="22">
        <v>1670</v>
      </c>
      <c r="I2" s="28">
        <f>K2-J2</f>
        <v>0.50560000000000005</v>
      </c>
      <c r="J2" s="22">
        <v>1.84E-2</v>
      </c>
      <c r="K2" s="22">
        <v>0.52400000000000002</v>
      </c>
      <c r="L2" s="22">
        <v>433</v>
      </c>
      <c r="M2" s="69">
        <v>1.33</v>
      </c>
      <c r="N2" s="22">
        <v>3.8000000000000002E-4</v>
      </c>
      <c r="O2" s="22">
        <v>1.4200000000000001E-2</v>
      </c>
    </row>
    <row r="3" spans="1:15">
      <c r="A3" s="20" t="s">
        <v>8</v>
      </c>
      <c r="B3" s="21">
        <v>42774.5</v>
      </c>
      <c r="C3" s="22">
        <v>4010</v>
      </c>
      <c r="D3" s="22">
        <v>1450</v>
      </c>
      <c r="E3" s="22">
        <v>7.97</v>
      </c>
      <c r="F3" s="22">
        <v>33.4</v>
      </c>
      <c r="G3" s="22">
        <v>0.27</v>
      </c>
      <c r="H3" s="22">
        <v>1650</v>
      </c>
      <c r="I3" s="28">
        <f t="shared" ref="I3:I13" si="0">K3-J3</f>
        <v>0.53839999999999999</v>
      </c>
      <c r="J3" s="22">
        <v>1.26E-2</v>
      </c>
      <c r="K3" s="22">
        <v>0.55100000000000005</v>
      </c>
      <c r="L3" s="22">
        <v>473</v>
      </c>
      <c r="M3" s="69">
        <v>1.23</v>
      </c>
      <c r="N3" s="22">
        <v>2.2000000000000001E-4</v>
      </c>
      <c r="O3" s="22">
        <v>2.0199999999999999E-2</v>
      </c>
    </row>
    <row r="4" spans="1:15">
      <c r="A4" s="20" t="s">
        <v>8</v>
      </c>
      <c r="B4" s="21">
        <v>42801.5</v>
      </c>
      <c r="C4" s="22">
        <v>3960</v>
      </c>
      <c r="D4" s="22">
        <v>1540</v>
      </c>
      <c r="E4" s="22">
        <v>7.83</v>
      </c>
      <c r="F4" s="22">
        <v>33.6</v>
      </c>
      <c r="G4" s="22">
        <v>0.52</v>
      </c>
      <c r="H4" s="22">
        <v>1850</v>
      </c>
      <c r="I4" s="28">
        <f t="shared" si="0"/>
        <v>0.39130000000000004</v>
      </c>
      <c r="J4" s="22">
        <v>7.3700000000000002E-2</v>
      </c>
      <c r="K4" s="22">
        <v>0.46500000000000002</v>
      </c>
      <c r="L4" s="22">
        <v>448</v>
      </c>
      <c r="M4" s="69">
        <v>1.36</v>
      </c>
      <c r="N4" s="22">
        <v>6.8999999999999997E-4</v>
      </c>
      <c r="O4" s="24">
        <f>0.5* 0.03</f>
        <v>1.4999999999999999E-2</v>
      </c>
    </row>
    <row r="5" spans="1:15">
      <c r="A5" s="20" t="s">
        <v>8</v>
      </c>
      <c r="B5" s="21">
        <v>42851.5</v>
      </c>
      <c r="C5" s="22">
        <v>3620</v>
      </c>
      <c r="D5" s="22">
        <v>1420</v>
      </c>
      <c r="E5" s="22">
        <v>8.07</v>
      </c>
      <c r="F5" s="22">
        <v>27.2</v>
      </c>
      <c r="G5" s="22">
        <v>3.47</v>
      </c>
      <c r="H5" s="22">
        <v>1800</v>
      </c>
      <c r="I5" s="28">
        <f t="shared" si="0"/>
        <v>0.40920000000000001</v>
      </c>
      <c r="J5" s="22">
        <v>2.58E-2</v>
      </c>
      <c r="K5" s="22">
        <v>0.435</v>
      </c>
      <c r="L5" s="22">
        <v>179</v>
      </c>
      <c r="M5" s="69">
        <v>1.1299999999999999</v>
      </c>
      <c r="N5" s="22">
        <v>1.81E-3</v>
      </c>
      <c r="O5" s="24">
        <f t="shared" ref="O5:O12" si="1">0.5* 0.02</f>
        <v>0.01</v>
      </c>
    </row>
    <row r="6" spans="1:15">
      <c r="A6" s="20" t="s">
        <v>8</v>
      </c>
      <c r="B6" s="21">
        <v>42879</v>
      </c>
      <c r="C6" s="22">
        <v>3300</v>
      </c>
      <c r="D6" s="22">
        <v>1310</v>
      </c>
      <c r="E6" s="22">
        <v>7.58</v>
      </c>
      <c r="F6" s="22">
        <v>23.1</v>
      </c>
      <c r="G6" s="22">
        <v>2.27</v>
      </c>
      <c r="H6" s="22">
        <v>1480</v>
      </c>
      <c r="I6" s="28">
        <f t="shared" si="0"/>
        <v>0.29700000000000004</v>
      </c>
      <c r="J6" s="22">
        <v>9.0999999999999998E-2</v>
      </c>
      <c r="K6" s="22">
        <v>0.38800000000000001</v>
      </c>
      <c r="L6" s="22">
        <v>142</v>
      </c>
      <c r="M6" s="69">
        <v>0.98099999999999998</v>
      </c>
      <c r="N6" s="22">
        <v>1.2999999999999999E-3</v>
      </c>
      <c r="O6" s="24">
        <f t="shared" si="1"/>
        <v>0.01</v>
      </c>
    </row>
    <row r="7" spans="1:15">
      <c r="A7" s="20" t="s">
        <v>8</v>
      </c>
      <c r="B7" s="21">
        <v>42907.5</v>
      </c>
      <c r="C7" s="22">
        <v>3340</v>
      </c>
      <c r="D7" s="22">
        <v>1280</v>
      </c>
      <c r="E7" s="22">
        <v>7.59</v>
      </c>
      <c r="F7" s="22">
        <v>28.5</v>
      </c>
      <c r="G7" s="22">
        <v>0.13</v>
      </c>
      <c r="H7" s="22">
        <v>1590</v>
      </c>
      <c r="I7" s="28">
        <f t="shared" si="0"/>
        <v>0.36759999999999998</v>
      </c>
      <c r="J7" s="22">
        <v>1.54E-2</v>
      </c>
      <c r="K7" s="22">
        <v>0.38300000000000001</v>
      </c>
      <c r="L7" s="22">
        <v>189</v>
      </c>
      <c r="M7" s="69">
        <v>0.96099999999999997</v>
      </c>
      <c r="N7" s="22">
        <v>4.0000000000000002E-4</v>
      </c>
      <c r="O7" s="24">
        <f t="shared" si="1"/>
        <v>0.01</v>
      </c>
    </row>
    <row r="8" spans="1:15">
      <c r="A8" s="20" t="s">
        <v>8</v>
      </c>
      <c r="B8" s="21">
        <v>42942.5</v>
      </c>
      <c r="C8" s="22">
        <v>3460</v>
      </c>
      <c r="D8" s="22">
        <v>1480</v>
      </c>
      <c r="E8" s="22">
        <v>7.82</v>
      </c>
      <c r="F8" s="22">
        <v>28.9</v>
      </c>
      <c r="G8" s="22">
        <v>0.2</v>
      </c>
      <c r="H8" s="22">
        <v>1480</v>
      </c>
      <c r="I8" s="28">
        <f t="shared" si="0"/>
        <v>0.38240000000000002</v>
      </c>
      <c r="J8" s="22">
        <v>1.1599999999999999E-2</v>
      </c>
      <c r="K8" s="22">
        <v>0.39400000000000002</v>
      </c>
      <c r="L8" s="22">
        <v>263</v>
      </c>
      <c r="M8" s="69">
        <v>1.2</v>
      </c>
      <c r="N8" s="22">
        <v>4.2000000000000002E-4</v>
      </c>
      <c r="O8" s="24">
        <f t="shared" si="1"/>
        <v>0.01</v>
      </c>
    </row>
    <row r="9" spans="1:15">
      <c r="A9" s="20" t="s">
        <v>8</v>
      </c>
      <c r="B9" s="21">
        <v>42970.5</v>
      </c>
      <c r="C9" s="22">
        <v>3880</v>
      </c>
      <c r="D9" s="22">
        <v>1510</v>
      </c>
      <c r="E9" s="22">
        <v>7.69</v>
      </c>
      <c r="F9" s="22">
        <v>29.7</v>
      </c>
      <c r="G9" s="24">
        <f>0.5* 0.1</f>
        <v>0.05</v>
      </c>
      <c r="H9" s="22">
        <v>1930</v>
      </c>
      <c r="I9" s="28">
        <f t="shared" si="0"/>
        <v>0.42409999999999998</v>
      </c>
      <c r="J9" s="22">
        <v>1.5900000000000001E-2</v>
      </c>
      <c r="K9" s="22">
        <v>0.44</v>
      </c>
      <c r="L9" s="22">
        <v>159</v>
      </c>
      <c r="M9" s="69">
        <v>1.17</v>
      </c>
      <c r="N9" s="24">
        <f>0.5* 0.0004</f>
        <v>2.0000000000000001E-4</v>
      </c>
      <c r="O9" s="24">
        <f t="shared" si="1"/>
        <v>0.01</v>
      </c>
    </row>
    <row r="10" spans="1:15">
      <c r="A10" s="20" t="s">
        <v>8</v>
      </c>
      <c r="B10" s="21">
        <v>42998.5</v>
      </c>
      <c r="C10" s="22">
        <v>3400</v>
      </c>
      <c r="D10" s="22">
        <v>1390</v>
      </c>
      <c r="E10" s="22">
        <v>7.85</v>
      </c>
      <c r="F10" s="22">
        <v>29.3</v>
      </c>
      <c r="G10" s="22">
        <v>0.28000000000000003</v>
      </c>
      <c r="H10" s="22">
        <v>1620</v>
      </c>
      <c r="I10" s="28">
        <f t="shared" si="0"/>
        <v>0.43049999999999999</v>
      </c>
      <c r="J10" s="22">
        <v>8.5000000000000006E-3</v>
      </c>
      <c r="K10" s="22">
        <v>0.439</v>
      </c>
      <c r="L10" s="22">
        <v>412</v>
      </c>
      <c r="M10" s="69">
        <v>1.28</v>
      </c>
      <c r="N10" s="22">
        <v>4.8000000000000001E-4</v>
      </c>
      <c r="O10" s="24">
        <f t="shared" si="1"/>
        <v>0.01</v>
      </c>
    </row>
    <row r="11" spans="1:15">
      <c r="A11" s="20" t="s">
        <v>8</v>
      </c>
      <c r="B11" s="21">
        <v>43033</v>
      </c>
      <c r="C11" s="22">
        <v>3890</v>
      </c>
      <c r="D11" s="22">
        <v>1530</v>
      </c>
      <c r="E11" s="22">
        <v>7.57</v>
      </c>
      <c r="F11" s="22">
        <v>33.299999999999997</v>
      </c>
      <c r="G11" s="22">
        <v>0.81</v>
      </c>
      <c r="H11" s="22">
        <v>1810</v>
      </c>
      <c r="I11" s="28">
        <f t="shared" si="0"/>
        <v>0.3211</v>
      </c>
      <c r="J11" s="22">
        <v>1.3899999999999999E-2</v>
      </c>
      <c r="K11" s="22">
        <v>0.33500000000000002</v>
      </c>
      <c r="L11" s="22">
        <v>453</v>
      </c>
      <c r="M11" s="69">
        <v>1.6</v>
      </c>
      <c r="N11" s="22">
        <v>5.6999999999999998E-4</v>
      </c>
      <c r="O11" s="24">
        <f t="shared" si="1"/>
        <v>0.01</v>
      </c>
    </row>
    <row r="12" spans="1:15">
      <c r="A12" s="20" t="s">
        <v>8</v>
      </c>
      <c r="B12" s="21">
        <v>43061</v>
      </c>
      <c r="C12" s="22">
        <v>4070</v>
      </c>
      <c r="D12" s="22">
        <v>1780</v>
      </c>
      <c r="E12" s="22">
        <v>7.79</v>
      </c>
      <c r="F12" s="22">
        <v>31.1</v>
      </c>
      <c r="G12" s="22">
        <v>0.87</v>
      </c>
      <c r="H12" s="22">
        <v>1890</v>
      </c>
      <c r="I12" s="28">
        <f t="shared" si="0"/>
        <v>0.39510000000000001</v>
      </c>
      <c r="J12" s="22">
        <v>1.89E-2</v>
      </c>
      <c r="K12" s="22">
        <v>0.41399999999999998</v>
      </c>
      <c r="L12" s="22">
        <v>479</v>
      </c>
      <c r="M12" s="69">
        <v>1.56</v>
      </c>
      <c r="N12" s="22">
        <v>4.8999999999999998E-4</v>
      </c>
      <c r="O12" s="24">
        <f t="shared" si="1"/>
        <v>0.01</v>
      </c>
    </row>
    <row r="13" spans="1:15">
      <c r="A13" s="20" t="s">
        <v>8</v>
      </c>
      <c r="B13" s="21">
        <v>43089</v>
      </c>
      <c r="C13" s="22">
        <v>2755</v>
      </c>
      <c r="D13" s="22">
        <v>1630</v>
      </c>
      <c r="E13" s="22">
        <v>7.9</v>
      </c>
      <c r="F13" s="22">
        <v>35.4</v>
      </c>
      <c r="G13" s="22">
        <v>0.8</v>
      </c>
      <c r="H13" s="22">
        <v>1940</v>
      </c>
      <c r="I13" s="28">
        <f t="shared" si="0"/>
        <v>0.54600000000000004</v>
      </c>
      <c r="J13" s="24">
        <f>0.5* 0.01</f>
        <v>5.0000000000000001E-3</v>
      </c>
      <c r="K13" s="22">
        <v>0.55100000000000005</v>
      </c>
      <c r="L13" s="22">
        <v>477</v>
      </c>
      <c r="M13" s="69">
        <v>1.55</v>
      </c>
      <c r="N13" s="24">
        <f>0.5* 0.001</f>
        <v>5.0000000000000001E-4</v>
      </c>
      <c r="O13" s="24">
        <f>0.5* 0.05</f>
        <v>2.5000000000000001E-2</v>
      </c>
    </row>
    <row r="14" spans="1:15">
      <c r="A14" s="14"/>
      <c r="B14" s="15" t="s">
        <v>100</v>
      </c>
      <c r="C14" s="29">
        <f t="shared" ref="C14:O14" si="2">MIN(C2:C13)</f>
        <v>2755</v>
      </c>
      <c r="D14" s="30">
        <f t="shared" si="2"/>
        <v>1280</v>
      </c>
      <c r="E14" s="30">
        <f t="shared" si="2"/>
        <v>7.47</v>
      </c>
      <c r="F14" s="31">
        <f t="shared" si="2"/>
        <v>23.1</v>
      </c>
      <c r="G14" s="31">
        <f t="shared" si="2"/>
        <v>0.05</v>
      </c>
      <c r="H14" s="30">
        <f t="shared" si="2"/>
        <v>1480</v>
      </c>
      <c r="I14" s="31">
        <f t="shared" si="2"/>
        <v>0.29700000000000004</v>
      </c>
      <c r="J14" s="31">
        <f t="shared" si="2"/>
        <v>5.0000000000000001E-3</v>
      </c>
      <c r="K14" s="31">
        <f t="shared" si="2"/>
        <v>0.33500000000000002</v>
      </c>
      <c r="L14" s="30">
        <f t="shared" si="2"/>
        <v>142</v>
      </c>
      <c r="M14" s="37">
        <f t="shared" si="2"/>
        <v>0.96099999999999997</v>
      </c>
      <c r="N14" s="38">
        <f t="shared" si="2"/>
        <v>2.0000000000000001E-4</v>
      </c>
      <c r="O14" s="31">
        <f t="shared" si="2"/>
        <v>0.01</v>
      </c>
    </row>
    <row r="15" spans="1:15">
      <c r="A15" s="14"/>
      <c r="B15" s="15" t="s">
        <v>101</v>
      </c>
      <c r="C15" s="29">
        <f t="shared" ref="C15:O15" si="3">MAX(C2:C13)</f>
        <v>4070</v>
      </c>
      <c r="D15" s="30">
        <f t="shared" si="3"/>
        <v>1780</v>
      </c>
      <c r="E15" s="30">
        <f t="shared" si="3"/>
        <v>8.07</v>
      </c>
      <c r="F15" s="31">
        <f t="shared" si="3"/>
        <v>35.4</v>
      </c>
      <c r="G15" s="31">
        <f t="shared" si="3"/>
        <v>3.47</v>
      </c>
      <c r="H15" s="30">
        <f t="shared" si="3"/>
        <v>1940</v>
      </c>
      <c r="I15" s="31">
        <f t="shared" si="3"/>
        <v>0.54600000000000004</v>
      </c>
      <c r="J15" s="31">
        <f t="shared" si="3"/>
        <v>9.0999999999999998E-2</v>
      </c>
      <c r="K15" s="31">
        <f t="shared" si="3"/>
        <v>0.55100000000000005</v>
      </c>
      <c r="L15" s="30">
        <f t="shared" si="3"/>
        <v>479</v>
      </c>
      <c r="M15" s="37">
        <f t="shared" si="3"/>
        <v>1.6</v>
      </c>
      <c r="N15" s="38">
        <f t="shared" si="3"/>
        <v>1.81E-3</v>
      </c>
      <c r="O15" s="31">
        <f t="shared" si="3"/>
        <v>2.5000000000000001E-2</v>
      </c>
    </row>
    <row r="16" spans="1:15">
      <c r="A16" s="14"/>
      <c r="B16" s="15" t="s">
        <v>102</v>
      </c>
      <c r="C16" s="29">
        <f t="shared" ref="C16:O16" si="4">AVERAGE(C2:C13)</f>
        <v>3630.4166666666665</v>
      </c>
      <c r="D16" s="30">
        <f t="shared" si="4"/>
        <v>1475</v>
      </c>
      <c r="E16" s="30">
        <f t="shared" si="4"/>
        <v>7.7608333333333341</v>
      </c>
      <c r="F16" s="31">
        <f t="shared" si="4"/>
        <v>30.474999999999998</v>
      </c>
      <c r="G16" s="31">
        <f t="shared" si="4"/>
        <v>0.83583333333333343</v>
      </c>
      <c r="H16" s="30">
        <f t="shared" si="4"/>
        <v>1725.8333333333333</v>
      </c>
      <c r="I16" s="31">
        <f t="shared" si="4"/>
        <v>0.41735833333333344</v>
      </c>
      <c r="J16" s="31">
        <f t="shared" si="4"/>
        <v>2.5891666666666674E-2</v>
      </c>
      <c r="K16" s="31">
        <f t="shared" si="4"/>
        <v>0.44324999999999998</v>
      </c>
      <c r="L16" s="30">
        <f t="shared" si="4"/>
        <v>342.25</v>
      </c>
      <c r="M16" s="37">
        <f t="shared" si="4"/>
        <v>1.2793333333333334</v>
      </c>
      <c r="N16" s="38">
        <f t="shared" si="4"/>
        <v>6.2166666666666663E-4</v>
      </c>
      <c r="O16" s="31">
        <f t="shared" si="4"/>
        <v>1.2866666666666665E-2</v>
      </c>
    </row>
    <row r="17" spans="1:15">
      <c r="A17" s="14"/>
      <c r="B17" s="15" t="s">
        <v>103</v>
      </c>
      <c r="C17" s="29">
        <f t="shared" ref="C17:O17" si="5">_xlfn.STDEV.P(C2:C13)</f>
        <v>374.16829064235549</v>
      </c>
      <c r="D17" s="30">
        <f t="shared" si="5"/>
        <v>132.50786140200637</v>
      </c>
      <c r="E17" s="30">
        <f t="shared" si="5"/>
        <v>0.1740908926075368</v>
      </c>
      <c r="F17" s="31">
        <f t="shared" si="5"/>
        <v>3.2583546461366226</v>
      </c>
      <c r="G17" s="31">
        <f t="shared" si="5"/>
        <v>0.97784165668862522</v>
      </c>
      <c r="H17" s="30">
        <f t="shared" si="5"/>
        <v>158.61159758633315</v>
      </c>
      <c r="I17" s="31">
        <f t="shared" si="5"/>
        <v>7.5219295599968691E-2</v>
      </c>
      <c r="J17" s="31">
        <f t="shared" si="5"/>
        <v>2.5986068650122675E-2</v>
      </c>
      <c r="K17" s="31">
        <f t="shared" si="5"/>
        <v>6.5823153221340122E-2</v>
      </c>
      <c r="L17" s="30">
        <f t="shared" si="5"/>
        <v>135.5852284235516</v>
      </c>
      <c r="M17" s="37">
        <f t="shared" si="5"/>
        <v>0.20356339443906762</v>
      </c>
      <c r="N17" s="38">
        <f t="shared" si="5"/>
        <v>4.4899579310080654E-4</v>
      </c>
      <c r="O17" s="31">
        <f t="shared" si="5"/>
        <v>4.7702783519995616E-3</v>
      </c>
    </row>
    <row r="18" spans="1:15" ht="12.75" customHeight="1">
      <c r="A18" s="17"/>
      <c r="B18" s="131" t="s">
        <v>112</v>
      </c>
      <c r="C18" s="130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</row>
    <row r="19" spans="1:15" ht="12.75" customHeight="1">
      <c r="A19" s="17"/>
      <c r="B19" s="130" t="s">
        <v>117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</row>
    <row r="20" spans="1:15" ht="12.75" customHeight="1">
      <c r="A20" s="17"/>
      <c r="B20" s="130" t="s">
        <v>114</v>
      </c>
      <c r="C20" s="130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</row>
    <row r="21" spans="1:15" ht="12.75" customHeight="1">
      <c r="A21" s="17"/>
      <c r="B21" s="130" t="s">
        <v>108</v>
      </c>
      <c r="C21" s="130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</row>
    <row r="22" spans="1:15" ht="12.75" customHeight="1">
      <c r="A22" s="18"/>
      <c r="B22" s="130" t="s">
        <v>115</v>
      </c>
      <c r="C22" s="130"/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</row>
    <row r="23" spans="1:15" ht="12.75" customHeight="1"/>
  </sheetData>
  <mergeCells count="5">
    <mergeCell ref="B21:O21"/>
    <mergeCell ref="B18:O18"/>
    <mergeCell ref="B19:O19"/>
    <mergeCell ref="B20:O20"/>
    <mergeCell ref="B22:O22"/>
  </mergeCells>
  <printOptions horizontalCentered="1"/>
  <pageMargins left="0.25" right="0.25" top="1.0833333333333299" bottom="0.75" header="0.3" footer="0.3"/>
  <pageSetup orientation="landscape" r:id="rId1"/>
  <headerFooter alignWithMargins="0">
    <oddHeader>&amp;LBarrick Gold Inc. - Nickel Plate Mine&amp;C&amp;"-,Regular"&amp;18
Table 10 - CENTRALS Data&amp;RAnnual Report, 2017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9"/>
  <sheetViews>
    <sheetView view="pageLayout" zoomScaleNormal="100" workbookViewId="0">
      <selection activeCell="B33" sqref="B33"/>
    </sheetView>
  </sheetViews>
  <sheetFormatPr defaultColWidth="9.1328125" defaultRowHeight="15.75"/>
  <cols>
    <col min="1" max="1" width="9.86328125" style="19" bestFit="1" customWidth="1"/>
    <col min="2" max="2" width="10.59765625" style="23" bestFit="1" customWidth="1"/>
    <col min="3" max="3" width="3.86328125" style="19" bestFit="1" customWidth="1"/>
    <col min="4" max="4" width="4.3984375" style="19" bestFit="1" customWidth="1"/>
    <col min="5" max="7" width="5.59765625" style="19" bestFit="1" customWidth="1"/>
    <col min="8" max="8" width="3.86328125" style="19" bestFit="1" customWidth="1"/>
    <col min="9" max="9" width="5.59765625" style="19" bestFit="1" customWidth="1"/>
    <col min="10" max="10" width="8.1328125" style="19" bestFit="1" customWidth="1"/>
    <col min="11" max="11" width="6.73046875" style="19" bestFit="1" customWidth="1"/>
    <col min="12" max="12" width="5.59765625" style="19" bestFit="1" customWidth="1"/>
    <col min="13" max="13" width="7.265625" style="19" bestFit="1" customWidth="1"/>
    <col min="14" max="15" width="8.1328125" style="19" bestFit="1" customWidth="1"/>
    <col min="16" max="16" width="5.86328125" style="19" bestFit="1" customWidth="1"/>
    <col min="17" max="17" width="7.86328125" style="19" bestFit="1" customWidth="1"/>
    <col min="18" max="18" width="9.265625" style="19" bestFit="1" customWidth="1"/>
    <col min="19" max="19" width="9" style="19" bestFit="1" customWidth="1"/>
    <col min="20" max="20" width="8.1328125" style="19" bestFit="1" customWidth="1"/>
    <col min="21" max="16384" width="9.1328125" style="19"/>
  </cols>
  <sheetData>
    <row r="1" spans="1:20" ht="132">
      <c r="A1" s="1" t="s">
        <v>45</v>
      </c>
      <c r="B1" s="2" t="s">
        <v>46</v>
      </c>
      <c r="C1" s="44" t="s">
        <v>47</v>
      </c>
      <c r="D1" s="5" t="s">
        <v>50</v>
      </c>
      <c r="E1" s="5" t="s">
        <v>51</v>
      </c>
      <c r="F1" s="33" t="s">
        <v>0</v>
      </c>
      <c r="G1" s="4" t="s">
        <v>52</v>
      </c>
      <c r="H1" s="33" t="s">
        <v>54</v>
      </c>
      <c r="I1" s="5" t="s">
        <v>55</v>
      </c>
      <c r="J1" s="32" t="s">
        <v>56</v>
      </c>
      <c r="K1" s="7" t="s">
        <v>57</v>
      </c>
      <c r="L1" s="5" t="s">
        <v>59</v>
      </c>
      <c r="M1" s="7" t="s">
        <v>105</v>
      </c>
      <c r="N1" s="7" t="s">
        <v>60</v>
      </c>
      <c r="O1" s="7" t="s">
        <v>61</v>
      </c>
      <c r="P1" s="4" t="s">
        <v>62</v>
      </c>
      <c r="Q1" s="10" t="s">
        <v>82</v>
      </c>
      <c r="R1" s="9" t="s">
        <v>85</v>
      </c>
      <c r="S1" s="10" t="s">
        <v>86</v>
      </c>
      <c r="T1" s="10" t="s">
        <v>95</v>
      </c>
    </row>
    <row r="2" spans="1:20">
      <c r="A2" s="20" t="s">
        <v>25</v>
      </c>
      <c r="B2" s="21">
        <v>43089</v>
      </c>
      <c r="C2" s="25" t="s">
        <v>96</v>
      </c>
      <c r="D2" s="22">
        <v>0.4</v>
      </c>
      <c r="E2" s="22">
        <v>80.400000000000006</v>
      </c>
      <c r="F2" s="22">
        <v>30.7</v>
      </c>
      <c r="G2" s="22">
        <v>7.78</v>
      </c>
      <c r="H2" s="22">
        <v>65</v>
      </c>
      <c r="I2" s="22">
        <v>15.7</v>
      </c>
      <c r="J2" s="24">
        <f>0.5* 0.005</f>
        <v>2.5000000000000001E-3</v>
      </c>
      <c r="K2" s="22">
        <v>0.109</v>
      </c>
      <c r="L2" s="22">
        <v>3.03</v>
      </c>
      <c r="M2" s="28">
        <f>O2-N2</f>
        <v>0</v>
      </c>
      <c r="N2" s="24">
        <f t="shared" ref="N2:O2" si="0">0.5* 0.005</f>
        <v>2.5000000000000001E-3</v>
      </c>
      <c r="O2" s="24">
        <f t="shared" si="0"/>
        <v>2.5000000000000001E-3</v>
      </c>
      <c r="P2" s="24">
        <f>0.5* 0.5</f>
        <v>0.25</v>
      </c>
      <c r="Q2" s="22">
        <v>1.0500000000000001E-2</v>
      </c>
      <c r="R2" s="24">
        <f t="shared" ref="R2" si="1">0.5* 0.0001</f>
        <v>5.0000000000000002E-5</v>
      </c>
      <c r="S2" s="22">
        <v>6.8999999999999997E-4</v>
      </c>
      <c r="T2" s="24">
        <f>0.5* 0.001</f>
        <v>5.0000000000000001E-4</v>
      </c>
    </row>
    <row r="3" spans="1:20" ht="12.75" customHeight="1">
      <c r="A3" s="17"/>
      <c r="B3" s="131" t="s">
        <v>112</v>
      </c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</row>
    <row r="4" spans="1:20" ht="12.75" customHeight="1">
      <c r="A4" s="17"/>
      <c r="B4" s="130" t="s">
        <v>117</v>
      </c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</row>
    <row r="5" spans="1:20" ht="12.75" customHeight="1">
      <c r="A5" s="17"/>
      <c r="B5" s="130" t="s">
        <v>114</v>
      </c>
      <c r="C5" s="130"/>
      <c r="D5" s="130"/>
      <c r="E5" s="130"/>
      <c r="F5" s="130"/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</row>
    <row r="6" spans="1:20" ht="12.75" customHeight="1">
      <c r="A6" s="17"/>
      <c r="B6" s="130" t="s">
        <v>108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0"/>
    </row>
    <row r="7" spans="1:20" ht="12.75" customHeight="1">
      <c r="A7" s="18"/>
      <c r="B7" s="130" t="s">
        <v>115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</row>
    <row r="8" spans="1:20" ht="12.75" customHeight="1">
      <c r="A8" s="18"/>
      <c r="B8" s="130" t="s">
        <v>110</v>
      </c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</row>
    <row r="9" spans="1:20" ht="12.75" customHeight="1"/>
  </sheetData>
  <mergeCells count="6">
    <mergeCell ref="B7:T7"/>
    <mergeCell ref="B8:T8"/>
    <mergeCell ref="B3:T3"/>
    <mergeCell ref="B4:T4"/>
    <mergeCell ref="B5:T5"/>
    <mergeCell ref="B6:T6"/>
  </mergeCells>
  <printOptions horizontalCentered="1"/>
  <pageMargins left="0.25" right="0.25" top="1.0833333333333299" bottom="0.75" header="0.3" footer="0.3"/>
  <pageSetup orientation="landscape" r:id="rId1"/>
  <headerFooter alignWithMargins="0">
    <oddHeader>&amp;LBarrick Gold Inc. - Nickel Plate Mine&amp;C&amp;"-,Regular"&amp;18
Table 11 - CPFLOOR (E217193) Data&amp;RAnnual Report, 2017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16"/>
  <sheetViews>
    <sheetView view="pageLayout" zoomScaleNormal="100" workbookViewId="0">
      <selection activeCell="B33" sqref="B33"/>
    </sheetView>
  </sheetViews>
  <sheetFormatPr defaultColWidth="9.1328125" defaultRowHeight="15.75"/>
  <cols>
    <col min="1" max="1" width="3.86328125" style="19" bestFit="1" customWidth="1"/>
    <col min="2" max="2" width="10.1328125" style="23" bestFit="1" customWidth="1"/>
    <col min="3" max="3" width="6.86328125" style="19" bestFit="1" customWidth="1"/>
    <col min="4" max="4" width="5.1328125" style="19" bestFit="1" customWidth="1"/>
    <col min="5" max="5" width="5.73046875" style="19" bestFit="1" customWidth="1"/>
    <col min="6" max="6" width="5.1328125" style="19" bestFit="1" customWidth="1"/>
    <col min="7" max="7" width="8" style="19" bestFit="1" customWidth="1"/>
    <col min="8" max="8" width="5.73046875" style="19" bestFit="1" customWidth="1"/>
    <col min="9" max="9" width="5.1328125" style="19" bestFit="1" customWidth="1"/>
    <col min="10" max="10" width="8" style="19" bestFit="1" customWidth="1"/>
    <col min="11" max="11" width="8.1328125" style="19" bestFit="1" customWidth="1"/>
    <col min="12" max="12" width="8" style="19" bestFit="1" customWidth="1"/>
    <col min="13" max="13" width="5.86328125" style="19" bestFit="1" customWidth="1"/>
    <col min="14" max="15" width="9.1328125" style="19" bestFit="1" customWidth="1"/>
    <col min="16" max="16" width="10.265625" style="19" bestFit="1" customWidth="1"/>
    <col min="17" max="17" width="9.265625" style="19" bestFit="1" customWidth="1"/>
    <col min="18" max="18" width="8" style="19" bestFit="1" customWidth="1"/>
    <col min="19" max="19" width="9.1328125" style="19" bestFit="1" customWidth="1"/>
    <col min="20" max="20" width="8" style="19" bestFit="1" customWidth="1"/>
    <col min="21" max="21" width="11.3984375" style="19" bestFit="1" customWidth="1"/>
    <col min="22" max="22" width="11.59765625" style="19" bestFit="1" customWidth="1"/>
    <col min="23" max="24" width="9.1328125" style="19" bestFit="1" customWidth="1"/>
    <col min="25" max="25" width="11.59765625" style="19" bestFit="1" customWidth="1"/>
    <col min="26" max="26" width="9.1328125" style="19" bestFit="1" customWidth="1"/>
    <col min="27" max="16384" width="9.1328125" style="19"/>
  </cols>
  <sheetData>
    <row r="1" spans="1:26" ht="132.75">
      <c r="A1" s="1" t="s">
        <v>45</v>
      </c>
      <c r="B1" s="2" t="s">
        <v>46</v>
      </c>
      <c r="C1" s="5" t="s">
        <v>51</v>
      </c>
      <c r="D1" s="33" t="s">
        <v>0</v>
      </c>
      <c r="E1" s="4" t="s">
        <v>52</v>
      </c>
      <c r="F1" s="33" t="s">
        <v>54</v>
      </c>
      <c r="G1" s="32" t="s">
        <v>56</v>
      </c>
      <c r="H1" s="7" t="s">
        <v>104</v>
      </c>
      <c r="I1" s="5" t="s">
        <v>59</v>
      </c>
      <c r="J1" s="7" t="s">
        <v>105</v>
      </c>
      <c r="K1" s="7" t="s">
        <v>60</v>
      </c>
      <c r="L1" s="7" t="s">
        <v>61</v>
      </c>
      <c r="M1" s="4" t="s">
        <v>62</v>
      </c>
      <c r="N1" s="10" t="s">
        <v>81</v>
      </c>
      <c r="O1" s="10" t="s">
        <v>82</v>
      </c>
      <c r="P1" s="9" t="s">
        <v>83</v>
      </c>
      <c r="Q1" s="10" t="s">
        <v>84</v>
      </c>
      <c r="R1" s="9" t="s">
        <v>85</v>
      </c>
      <c r="S1" s="10" t="s">
        <v>86</v>
      </c>
      <c r="T1" s="7" t="s">
        <v>87</v>
      </c>
      <c r="U1" s="9" t="s">
        <v>88</v>
      </c>
      <c r="V1" s="11" t="s">
        <v>89</v>
      </c>
      <c r="W1" s="8" t="s">
        <v>90</v>
      </c>
      <c r="X1" s="8" t="s">
        <v>92</v>
      </c>
      <c r="Y1" s="9" t="s">
        <v>93</v>
      </c>
      <c r="Z1" s="10" t="s">
        <v>95</v>
      </c>
    </row>
    <row r="2" spans="1:26">
      <c r="A2" s="20" t="s">
        <v>35</v>
      </c>
      <c r="B2" s="21">
        <v>42774.5</v>
      </c>
      <c r="C2" s="22">
        <v>1130</v>
      </c>
      <c r="D2" s="22">
        <v>475</v>
      </c>
      <c r="E2" s="22">
        <v>7.41</v>
      </c>
      <c r="F2" s="22">
        <v>847</v>
      </c>
      <c r="G2" s="22">
        <v>0.22900000000000001</v>
      </c>
      <c r="H2" s="22">
        <v>2.4900000000000002</v>
      </c>
      <c r="I2" s="22">
        <v>436</v>
      </c>
      <c r="J2" s="28">
        <f>L2-K2</f>
        <v>3.3999999999999996E-2</v>
      </c>
      <c r="K2" s="24">
        <f>0.5* 0.005</f>
        <v>2.5000000000000001E-3</v>
      </c>
      <c r="L2" s="22">
        <v>3.6499999999999998E-2</v>
      </c>
      <c r="M2" s="24">
        <f>0.5* 0.5</f>
        <v>0.25</v>
      </c>
      <c r="N2" s="22">
        <v>7.6000000000000004E-4</v>
      </c>
      <c r="O2" s="22">
        <v>1.11E-2</v>
      </c>
      <c r="P2" s="22">
        <v>3.1300000000000002E-4</v>
      </c>
      <c r="Q2" s="24">
        <f>0.5* 0.0001</f>
        <v>5.0000000000000002E-5</v>
      </c>
      <c r="R2" s="22">
        <v>9.3899999999999997E-2</v>
      </c>
      <c r="S2" s="22">
        <v>2.6199999999999999E-3</v>
      </c>
      <c r="T2" s="22">
        <v>7.4000000000000003E-3</v>
      </c>
      <c r="U2" s="22">
        <v>1.05E-4</v>
      </c>
      <c r="V2" s="25" t="s">
        <v>96</v>
      </c>
      <c r="W2" s="22">
        <v>2.1099999999999999E-3</v>
      </c>
      <c r="X2" s="22">
        <v>1.57E-3</v>
      </c>
      <c r="Y2" s="24">
        <f>0.5* 0.000005</f>
        <v>2.5000000000000002E-6</v>
      </c>
      <c r="Z2" s="22">
        <v>7.6099999999999996E-3</v>
      </c>
    </row>
    <row r="3" spans="1:26">
      <c r="A3" s="20" t="s">
        <v>35</v>
      </c>
      <c r="B3" s="21">
        <v>42837.5</v>
      </c>
      <c r="C3" s="22">
        <v>1050</v>
      </c>
      <c r="D3" s="22">
        <v>469</v>
      </c>
      <c r="E3" s="22">
        <v>7.02</v>
      </c>
      <c r="F3" s="22">
        <v>787</v>
      </c>
      <c r="G3" s="22">
        <v>0.81799999999999995</v>
      </c>
      <c r="H3" s="25">
        <v>1.4124999999999999</v>
      </c>
      <c r="I3" s="22">
        <v>354</v>
      </c>
      <c r="J3" s="28">
        <f t="shared" ref="J3:J5" si="0">L3-K3</f>
        <v>2.47E-2</v>
      </c>
      <c r="K3" s="24">
        <f>0.5* 0.005</f>
        <v>2.5000000000000001E-3</v>
      </c>
      <c r="L3" s="22">
        <v>2.7199999999999998E-2</v>
      </c>
      <c r="M3" s="24">
        <f>0.5* 0.5</f>
        <v>0.25</v>
      </c>
      <c r="N3" s="22">
        <v>1.4E-3</v>
      </c>
      <c r="O3" s="22">
        <v>8.5199999999999998E-3</v>
      </c>
      <c r="P3" s="22">
        <v>1.6899999999999999E-4</v>
      </c>
      <c r="Q3" s="24">
        <f>0.5* 0.0001</f>
        <v>5.0000000000000002E-5</v>
      </c>
      <c r="R3" s="22">
        <v>8.5199999999999998E-2</v>
      </c>
      <c r="S3" s="22">
        <v>2.5699999999999998E-3</v>
      </c>
      <c r="T3" s="24">
        <f>0.5* 0.01</f>
        <v>5.0000000000000001E-3</v>
      </c>
      <c r="U3" s="24">
        <f>0.5* 0.00005</f>
        <v>2.5000000000000001E-5</v>
      </c>
      <c r="V3" s="24">
        <f>0.5* 0.000005</f>
        <v>2.5000000000000002E-6</v>
      </c>
      <c r="W3" s="22">
        <v>1.98E-3</v>
      </c>
      <c r="X3" s="22">
        <v>2.6199999999999999E-3</v>
      </c>
      <c r="Y3" s="24">
        <f>0.5* 0.00001</f>
        <v>5.0000000000000004E-6</v>
      </c>
      <c r="Z3" s="22">
        <v>2.3999999999999998E-3</v>
      </c>
    </row>
    <row r="4" spans="1:26">
      <c r="A4" s="20" t="s">
        <v>35</v>
      </c>
      <c r="B4" s="21">
        <v>42921.5</v>
      </c>
      <c r="C4" s="22">
        <v>1060</v>
      </c>
      <c r="D4" s="22">
        <v>457</v>
      </c>
      <c r="E4" s="22">
        <v>7.12</v>
      </c>
      <c r="F4" s="22">
        <v>755</v>
      </c>
      <c r="G4" s="22">
        <v>0.152</v>
      </c>
      <c r="H4" s="25">
        <v>1.583</v>
      </c>
      <c r="I4" s="22">
        <v>383</v>
      </c>
      <c r="J4" s="28">
        <f t="shared" si="0"/>
        <v>2.2800000000000001E-2</v>
      </c>
      <c r="K4" s="24">
        <f>0.5* 0.005</f>
        <v>2.5000000000000001E-3</v>
      </c>
      <c r="L4" s="22">
        <v>2.53E-2</v>
      </c>
      <c r="M4" s="22">
        <v>0.54</v>
      </c>
      <c r="N4" s="22">
        <v>1.2999999999999999E-3</v>
      </c>
      <c r="O4" s="22">
        <v>1.41E-2</v>
      </c>
      <c r="P4" s="22">
        <v>2.9E-4</v>
      </c>
      <c r="Q4" s="24">
        <f>0.5* 0.0001</f>
        <v>5.0000000000000002E-5</v>
      </c>
      <c r="R4" s="22">
        <v>5.3100000000000001E-2</v>
      </c>
      <c r="S4" s="22">
        <v>3.6600000000000001E-3</v>
      </c>
      <c r="T4" s="24">
        <f>0.5* 0.01</f>
        <v>5.0000000000000001E-3</v>
      </c>
      <c r="U4" s="22">
        <v>2.24E-4</v>
      </c>
      <c r="V4" s="25" t="s">
        <v>96</v>
      </c>
      <c r="W4" s="22">
        <v>1.49E-3</v>
      </c>
      <c r="X4" s="22">
        <v>1.42E-3</v>
      </c>
      <c r="Y4" s="24">
        <f>0.5* 0.00001</f>
        <v>5.0000000000000004E-6</v>
      </c>
      <c r="Z4" s="22">
        <v>3.1800000000000002E-2</v>
      </c>
    </row>
    <row r="5" spans="1:26">
      <c r="A5" s="20" t="s">
        <v>35</v>
      </c>
      <c r="B5" s="21">
        <v>43012</v>
      </c>
      <c r="C5" s="22">
        <v>1270</v>
      </c>
      <c r="D5" s="22">
        <v>603</v>
      </c>
      <c r="E5" s="22">
        <v>7.9</v>
      </c>
      <c r="F5" s="22">
        <v>986</v>
      </c>
      <c r="G5" s="22">
        <v>1.46</v>
      </c>
      <c r="H5" s="25">
        <v>0.873</v>
      </c>
      <c r="I5" s="22">
        <v>511</v>
      </c>
      <c r="J5" s="28">
        <f t="shared" si="0"/>
        <v>2.3700000000000002E-2</v>
      </c>
      <c r="K5" s="24">
        <f>0.5* 0.005</f>
        <v>2.5000000000000001E-3</v>
      </c>
      <c r="L5" s="22">
        <v>2.6200000000000001E-2</v>
      </c>
      <c r="M5" s="24">
        <f>0.5* 0.5</f>
        <v>0.25</v>
      </c>
      <c r="N5" s="22">
        <v>1.9E-3</v>
      </c>
      <c r="O5" s="22">
        <v>1.6500000000000001E-2</v>
      </c>
      <c r="P5" s="22">
        <v>2.7900000000000001E-4</v>
      </c>
      <c r="Q5" s="24">
        <f>0.5* 0.0001</f>
        <v>5.0000000000000002E-5</v>
      </c>
      <c r="R5" s="22">
        <v>8.5599999999999996E-2</v>
      </c>
      <c r="S5" s="22">
        <v>1.83E-3</v>
      </c>
      <c r="T5" s="24">
        <f>0.5* 0.01</f>
        <v>5.0000000000000001E-3</v>
      </c>
      <c r="U5" s="24">
        <f>0.5* 0.00005</f>
        <v>2.5000000000000001E-5</v>
      </c>
      <c r="V5" s="25" t="s">
        <v>96</v>
      </c>
      <c r="W5" s="22">
        <v>4.2300000000000003E-3</v>
      </c>
      <c r="X5" s="22">
        <v>1.32E-3</v>
      </c>
      <c r="Y5" s="24">
        <f>0.5* 0.00001</f>
        <v>5.0000000000000004E-6</v>
      </c>
      <c r="Z5" s="22">
        <v>1.29E-2</v>
      </c>
    </row>
    <row r="6" spans="1:26">
      <c r="A6" s="14"/>
      <c r="B6" s="15" t="s">
        <v>100</v>
      </c>
      <c r="C6" s="16">
        <f t="shared" ref="C6:Z6" si="1">MIN(C2:C5)</f>
        <v>1050</v>
      </c>
      <c r="D6" s="16">
        <f t="shared" si="1"/>
        <v>457</v>
      </c>
      <c r="E6" s="30">
        <f t="shared" si="1"/>
        <v>7.02</v>
      </c>
      <c r="F6" s="16">
        <f t="shared" si="1"/>
        <v>755</v>
      </c>
      <c r="G6" s="31">
        <f t="shared" si="1"/>
        <v>0.152</v>
      </c>
      <c r="H6" s="30">
        <f t="shared" si="1"/>
        <v>0.873</v>
      </c>
      <c r="I6" s="16">
        <f t="shared" si="1"/>
        <v>354</v>
      </c>
      <c r="J6" s="31">
        <f t="shared" si="1"/>
        <v>2.2800000000000001E-2</v>
      </c>
      <c r="K6" s="31">
        <f t="shared" si="1"/>
        <v>2.5000000000000001E-3</v>
      </c>
      <c r="L6" s="31">
        <f t="shared" si="1"/>
        <v>2.53E-2</v>
      </c>
      <c r="M6" s="30">
        <f t="shared" si="1"/>
        <v>0.25</v>
      </c>
      <c r="N6" s="38">
        <f t="shared" si="1"/>
        <v>7.6000000000000004E-4</v>
      </c>
      <c r="O6" s="38">
        <f t="shared" si="1"/>
        <v>8.5199999999999998E-3</v>
      </c>
      <c r="P6" s="39">
        <f t="shared" si="1"/>
        <v>1.6899999999999999E-4</v>
      </c>
      <c r="Q6" s="38">
        <f t="shared" si="1"/>
        <v>5.0000000000000002E-5</v>
      </c>
      <c r="R6" s="31">
        <f t="shared" si="1"/>
        <v>5.3100000000000001E-2</v>
      </c>
      <c r="S6" s="38">
        <f t="shared" si="1"/>
        <v>1.83E-3</v>
      </c>
      <c r="T6" s="31">
        <f t="shared" si="1"/>
        <v>5.0000000000000001E-3</v>
      </c>
      <c r="U6" s="40">
        <f t="shared" si="1"/>
        <v>2.5000000000000001E-5</v>
      </c>
      <c r="V6" s="40">
        <f t="shared" si="1"/>
        <v>2.5000000000000002E-6</v>
      </c>
      <c r="W6" s="38">
        <f t="shared" si="1"/>
        <v>1.49E-3</v>
      </c>
      <c r="X6" s="38">
        <f t="shared" si="1"/>
        <v>1.32E-3</v>
      </c>
      <c r="Y6" s="40">
        <f t="shared" si="1"/>
        <v>2.5000000000000002E-6</v>
      </c>
      <c r="Z6" s="38">
        <f t="shared" si="1"/>
        <v>2.3999999999999998E-3</v>
      </c>
    </row>
    <row r="7" spans="1:26">
      <c r="A7" s="14"/>
      <c r="B7" s="15" t="s">
        <v>101</v>
      </c>
      <c r="C7" s="16">
        <f t="shared" ref="C7:Z7" si="2">MAX(C2:C5)</f>
        <v>1270</v>
      </c>
      <c r="D7" s="16">
        <f t="shared" si="2"/>
        <v>603</v>
      </c>
      <c r="E7" s="30">
        <f t="shared" si="2"/>
        <v>7.9</v>
      </c>
      <c r="F7" s="16">
        <f t="shared" si="2"/>
        <v>986</v>
      </c>
      <c r="G7" s="31">
        <f t="shared" si="2"/>
        <v>1.46</v>
      </c>
      <c r="H7" s="30">
        <f t="shared" si="2"/>
        <v>2.4900000000000002</v>
      </c>
      <c r="I7" s="16">
        <f t="shared" si="2"/>
        <v>511</v>
      </c>
      <c r="J7" s="31">
        <f t="shared" si="2"/>
        <v>3.3999999999999996E-2</v>
      </c>
      <c r="K7" s="31">
        <f t="shared" si="2"/>
        <v>2.5000000000000001E-3</v>
      </c>
      <c r="L7" s="31">
        <f t="shared" si="2"/>
        <v>3.6499999999999998E-2</v>
      </c>
      <c r="M7" s="30">
        <f t="shared" si="2"/>
        <v>0.54</v>
      </c>
      <c r="N7" s="38">
        <f t="shared" si="2"/>
        <v>1.9E-3</v>
      </c>
      <c r="O7" s="38">
        <f t="shared" si="2"/>
        <v>1.6500000000000001E-2</v>
      </c>
      <c r="P7" s="39">
        <f t="shared" si="2"/>
        <v>3.1300000000000002E-4</v>
      </c>
      <c r="Q7" s="38">
        <f t="shared" si="2"/>
        <v>5.0000000000000002E-5</v>
      </c>
      <c r="R7" s="31">
        <f t="shared" si="2"/>
        <v>9.3899999999999997E-2</v>
      </c>
      <c r="S7" s="38">
        <f t="shared" si="2"/>
        <v>3.6600000000000001E-3</v>
      </c>
      <c r="T7" s="31">
        <f t="shared" si="2"/>
        <v>7.4000000000000003E-3</v>
      </c>
      <c r="U7" s="40">
        <f t="shared" si="2"/>
        <v>2.24E-4</v>
      </c>
      <c r="V7" s="40">
        <f t="shared" si="2"/>
        <v>2.5000000000000002E-6</v>
      </c>
      <c r="W7" s="38">
        <f t="shared" si="2"/>
        <v>4.2300000000000003E-3</v>
      </c>
      <c r="X7" s="38">
        <f t="shared" si="2"/>
        <v>2.6199999999999999E-3</v>
      </c>
      <c r="Y7" s="40">
        <f t="shared" si="2"/>
        <v>5.0000000000000004E-6</v>
      </c>
      <c r="Z7" s="38">
        <f t="shared" si="2"/>
        <v>3.1800000000000002E-2</v>
      </c>
    </row>
    <row r="8" spans="1:26">
      <c r="A8" s="14"/>
      <c r="B8" s="15" t="s">
        <v>102</v>
      </c>
      <c r="C8" s="16">
        <f t="shared" ref="C8:Z8" si="3">AVERAGE(C2:C5)</f>
        <v>1127.5</v>
      </c>
      <c r="D8" s="16">
        <f t="shared" si="3"/>
        <v>501</v>
      </c>
      <c r="E8" s="30">
        <f t="shared" si="3"/>
        <v>7.3625000000000007</v>
      </c>
      <c r="F8" s="16">
        <f t="shared" si="3"/>
        <v>843.75</v>
      </c>
      <c r="G8" s="31">
        <f t="shared" si="3"/>
        <v>0.66474999999999995</v>
      </c>
      <c r="H8" s="30">
        <f t="shared" si="3"/>
        <v>1.5896250000000001</v>
      </c>
      <c r="I8" s="16">
        <f t="shared" si="3"/>
        <v>421</v>
      </c>
      <c r="J8" s="31">
        <f t="shared" si="3"/>
        <v>2.6299999999999997E-2</v>
      </c>
      <c r="K8" s="31">
        <f t="shared" si="3"/>
        <v>2.5000000000000001E-3</v>
      </c>
      <c r="L8" s="31">
        <f t="shared" si="3"/>
        <v>2.8799999999999999E-2</v>
      </c>
      <c r="M8" s="30">
        <f t="shared" si="3"/>
        <v>0.32250000000000001</v>
      </c>
      <c r="N8" s="38">
        <f t="shared" si="3"/>
        <v>1.34E-3</v>
      </c>
      <c r="O8" s="38">
        <f t="shared" si="3"/>
        <v>1.2555E-2</v>
      </c>
      <c r="P8" s="39">
        <f t="shared" si="3"/>
        <v>2.6275000000000002E-4</v>
      </c>
      <c r="Q8" s="38">
        <f t="shared" si="3"/>
        <v>5.0000000000000002E-5</v>
      </c>
      <c r="R8" s="31">
        <f t="shared" si="3"/>
        <v>7.9449999999999993E-2</v>
      </c>
      <c r="S8" s="38">
        <f t="shared" si="3"/>
        <v>2.6700000000000001E-3</v>
      </c>
      <c r="T8" s="31">
        <f t="shared" si="3"/>
        <v>5.6000000000000008E-3</v>
      </c>
      <c r="U8" s="40">
        <f t="shared" si="3"/>
        <v>9.4750000000000013E-5</v>
      </c>
      <c r="V8" s="40">
        <f t="shared" si="3"/>
        <v>2.5000000000000002E-6</v>
      </c>
      <c r="W8" s="38">
        <f t="shared" si="3"/>
        <v>2.4524999999999998E-3</v>
      </c>
      <c r="X8" s="38">
        <f t="shared" si="3"/>
        <v>1.7325000000000001E-3</v>
      </c>
      <c r="Y8" s="40">
        <f t="shared" si="3"/>
        <v>4.3750000000000005E-6</v>
      </c>
      <c r="Z8" s="38">
        <f t="shared" si="3"/>
        <v>1.36775E-2</v>
      </c>
    </row>
    <row r="9" spans="1:26">
      <c r="A9" s="14"/>
      <c r="B9" s="15" t="s">
        <v>103</v>
      </c>
      <c r="C9" s="16">
        <f t="shared" ref="C9:Z9" si="4">_xlfn.STDEV.P(C2:C5)</f>
        <v>87.856416954027893</v>
      </c>
      <c r="D9" s="16">
        <f t="shared" si="4"/>
        <v>59.245252974394496</v>
      </c>
      <c r="E9" s="30">
        <f t="shared" si="4"/>
        <v>0.34178758023076289</v>
      </c>
      <c r="F9" s="16">
        <f t="shared" si="4"/>
        <v>88.519418773509798</v>
      </c>
      <c r="G9" s="31">
        <f t="shared" si="4"/>
        <v>0.52647382413563548</v>
      </c>
      <c r="H9" s="30">
        <f t="shared" si="4"/>
        <v>0.58216056365490765</v>
      </c>
      <c r="I9" s="16">
        <f t="shared" si="4"/>
        <v>59.703433737097569</v>
      </c>
      <c r="J9" s="31">
        <f t="shared" si="4"/>
        <v>4.4961094292732661E-3</v>
      </c>
      <c r="K9" s="31">
        <f t="shared" si="4"/>
        <v>0</v>
      </c>
      <c r="L9" s="31">
        <f t="shared" si="4"/>
        <v>4.4961094292732678E-3</v>
      </c>
      <c r="M9" s="30">
        <f t="shared" si="4"/>
        <v>0.1255736835487436</v>
      </c>
      <c r="N9" s="38">
        <f t="shared" si="4"/>
        <v>4.0472212689696125E-4</v>
      </c>
      <c r="O9" s="38">
        <f t="shared" si="4"/>
        <v>3.014477566677185E-3</v>
      </c>
      <c r="P9" s="39">
        <f t="shared" si="4"/>
        <v>5.5499436934080705E-5</v>
      </c>
      <c r="Q9" s="38">
        <f t="shared" si="4"/>
        <v>0</v>
      </c>
      <c r="R9" s="31">
        <f t="shared" si="4"/>
        <v>1.5604566639288676E-2</v>
      </c>
      <c r="S9" s="38">
        <f t="shared" si="4"/>
        <v>6.5157501486782013E-4</v>
      </c>
      <c r="T9" s="31">
        <f t="shared" si="4"/>
        <v>1.0392304845413265E-3</v>
      </c>
      <c r="U9" s="40">
        <f t="shared" si="4"/>
        <v>8.1456660255623044E-5</v>
      </c>
      <c r="V9" s="40">
        <f t="shared" si="4"/>
        <v>0</v>
      </c>
      <c r="W9" s="38">
        <f t="shared" si="4"/>
        <v>1.0519594811588516E-3</v>
      </c>
      <c r="X9" s="38">
        <f t="shared" si="4"/>
        <v>5.2006610156786796E-4</v>
      </c>
      <c r="Y9" s="40">
        <f t="shared" si="4"/>
        <v>1.0825317547305486E-6</v>
      </c>
      <c r="Z9" s="38">
        <f t="shared" si="4"/>
        <v>1.1102095241439788E-2</v>
      </c>
    </row>
    <row r="10" spans="1:26" ht="12.75" customHeight="1">
      <c r="A10" s="17"/>
      <c r="B10" s="131" t="s">
        <v>112</v>
      </c>
      <c r="C10" s="130"/>
      <c r="D10" s="130"/>
      <c r="E10" s="130"/>
      <c r="F10" s="130"/>
      <c r="G10" s="130"/>
      <c r="H10" s="130"/>
      <c r="I10" s="130"/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</row>
    <row r="11" spans="1:26" ht="12.75" customHeight="1">
      <c r="A11" s="17"/>
      <c r="B11" s="130" t="s">
        <v>117</v>
      </c>
      <c r="C11" s="130"/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</row>
    <row r="12" spans="1:26" ht="12.75" customHeight="1">
      <c r="A12" s="17"/>
      <c r="B12" s="130" t="s">
        <v>114</v>
      </c>
      <c r="C12" s="130"/>
      <c r="D12" s="130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</row>
    <row r="13" spans="1:26" ht="12.75" customHeight="1">
      <c r="A13" s="17"/>
      <c r="B13" s="130" t="s">
        <v>108</v>
      </c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</row>
    <row r="14" spans="1:26" ht="12.75" customHeight="1">
      <c r="A14" s="17"/>
      <c r="B14" s="130" t="s">
        <v>116</v>
      </c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</row>
    <row r="15" spans="1:26" ht="12.75" customHeight="1">
      <c r="A15" s="18"/>
      <c r="B15" s="130" t="s">
        <v>115</v>
      </c>
      <c r="C15" s="130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</row>
    <row r="16" spans="1:26" ht="12.75" customHeight="1"/>
  </sheetData>
  <mergeCells count="6">
    <mergeCell ref="B14:Z14"/>
    <mergeCell ref="B15:Z15"/>
    <mergeCell ref="B10:Z10"/>
    <mergeCell ref="B11:Z11"/>
    <mergeCell ref="B12:Z12"/>
    <mergeCell ref="B13:Z13"/>
  </mergeCells>
  <printOptions horizontalCentered="1"/>
  <pageMargins left="0.25" right="0.25" top="1.0833333333333299" bottom="0.75" header="0.3" footer="0.3"/>
  <pageSetup orientation="landscape" r:id="rId1"/>
  <headerFooter alignWithMargins="0">
    <oddHeader>&amp;LBarrick Gold Inc. - Nickel Plate Mine&amp;C&amp;"-,Regular"&amp;18
Table 12 - D1 Data&amp;RAnnual Report, 2017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44</vt:i4>
      </vt:variant>
      <vt:variant>
        <vt:lpstr>Named Ranges</vt:lpstr>
      </vt:variant>
      <vt:variant>
        <vt:i4>88</vt:i4>
      </vt:variant>
    </vt:vector>
  </HeadingPairs>
  <TitlesOfParts>
    <vt:vector size="132" baseType="lpstr">
      <vt:lpstr>BAE</vt:lpstr>
      <vt:lpstr>Barge</vt:lpstr>
      <vt:lpstr>C1</vt:lpstr>
      <vt:lpstr>C2</vt:lpstr>
      <vt:lpstr>C3</vt:lpstr>
      <vt:lpstr>C4</vt:lpstr>
      <vt:lpstr>Cent</vt:lpstr>
      <vt:lpstr>CPF</vt:lpstr>
      <vt:lpstr>D1</vt:lpstr>
      <vt:lpstr>E</vt:lpstr>
      <vt:lpstr>DS</vt:lpstr>
      <vt:lpstr>US</vt:lpstr>
      <vt:lpstr>LT1</vt:lpstr>
      <vt:lpstr>NPM</vt:lpstr>
      <vt:lpstr>P16</vt:lpstr>
      <vt:lpstr>P17</vt:lpstr>
      <vt:lpstr>P32</vt:lpstr>
      <vt:lpstr>P33</vt:lpstr>
      <vt:lpstr>P34</vt:lpstr>
      <vt:lpstr>P35</vt:lpstr>
      <vt:lpstr>P36</vt:lpstr>
      <vt:lpstr>P37</vt:lpstr>
      <vt:lpstr>P38</vt:lpstr>
      <vt:lpstr>P40</vt:lpstr>
      <vt:lpstr>P41</vt:lpstr>
      <vt:lpstr>P43</vt:lpstr>
      <vt:lpstr>P44</vt:lpstr>
      <vt:lpstr>RT</vt:lpstr>
      <vt:lpstr>RTE</vt:lpstr>
      <vt:lpstr>RTW</vt:lpstr>
      <vt:lpstr>Sun</vt:lpstr>
      <vt:lpstr>U-SS</vt:lpstr>
      <vt:lpstr>W1</vt:lpstr>
      <vt:lpstr>W3</vt:lpstr>
      <vt:lpstr>W4</vt:lpstr>
      <vt:lpstr>W5</vt:lpstr>
      <vt:lpstr>W6</vt:lpstr>
      <vt:lpstr>W7</vt:lpstr>
      <vt:lpstr>W8</vt:lpstr>
      <vt:lpstr>W11</vt:lpstr>
      <vt:lpstr>W1000</vt:lpstr>
      <vt:lpstr>1100</vt:lpstr>
      <vt:lpstr>Day flow</vt:lpstr>
      <vt:lpstr>5day</vt:lpstr>
      <vt:lpstr>'1100'!Print_Area</vt:lpstr>
      <vt:lpstr>'5day'!Print_Area</vt:lpstr>
      <vt:lpstr>BAE!Print_Area</vt:lpstr>
      <vt:lpstr>Barge!Print_Area</vt:lpstr>
      <vt:lpstr>'C1'!Print_Area</vt:lpstr>
      <vt:lpstr>'C2'!Print_Area</vt:lpstr>
      <vt:lpstr>'C3'!Print_Area</vt:lpstr>
      <vt:lpstr>'C4'!Print_Area</vt:lpstr>
      <vt:lpstr>Cent!Print_Area</vt:lpstr>
      <vt:lpstr>CPF!Print_Area</vt:lpstr>
      <vt:lpstr>'D1'!Print_Area</vt:lpstr>
      <vt:lpstr>'Day flow'!Print_Area</vt:lpstr>
      <vt:lpstr>DS!Print_Area</vt:lpstr>
      <vt:lpstr>E!Print_Area</vt:lpstr>
      <vt:lpstr>'LT1'!Print_Area</vt:lpstr>
      <vt:lpstr>NPM!Print_Area</vt:lpstr>
      <vt:lpstr>'P16'!Print_Area</vt:lpstr>
      <vt:lpstr>'P17'!Print_Area</vt:lpstr>
      <vt:lpstr>'P32'!Print_Area</vt:lpstr>
      <vt:lpstr>'P33'!Print_Area</vt:lpstr>
      <vt:lpstr>'P34'!Print_Area</vt:lpstr>
      <vt:lpstr>'P35'!Print_Area</vt:lpstr>
      <vt:lpstr>'P36'!Print_Area</vt:lpstr>
      <vt:lpstr>'P37'!Print_Area</vt:lpstr>
      <vt:lpstr>'P38'!Print_Area</vt:lpstr>
      <vt:lpstr>'P40'!Print_Area</vt:lpstr>
      <vt:lpstr>'P41'!Print_Area</vt:lpstr>
      <vt:lpstr>'P43'!Print_Area</vt:lpstr>
      <vt:lpstr>'P44'!Print_Area</vt:lpstr>
      <vt:lpstr>RT!Print_Area</vt:lpstr>
      <vt:lpstr>RTE!Print_Area</vt:lpstr>
      <vt:lpstr>RTW!Print_Area</vt:lpstr>
      <vt:lpstr>Sun!Print_Area</vt:lpstr>
      <vt:lpstr>US!Print_Area</vt:lpstr>
      <vt:lpstr>'U-SS'!Print_Area</vt:lpstr>
      <vt:lpstr>'W1'!Print_Area</vt:lpstr>
      <vt:lpstr>'W1000'!Print_Area</vt:lpstr>
      <vt:lpstr>'W11'!Print_Area</vt:lpstr>
      <vt:lpstr>'W3'!Print_Area</vt:lpstr>
      <vt:lpstr>'W4'!Print_Area</vt:lpstr>
      <vt:lpstr>'W5'!Print_Area</vt:lpstr>
      <vt:lpstr>'W6'!Print_Area</vt:lpstr>
      <vt:lpstr>'W7'!Print_Area</vt:lpstr>
      <vt:lpstr>'W8'!Print_Area</vt:lpstr>
      <vt:lpstr>'1100'!Print_Titles</vt:lpstr>
      <vt:lpstr>'5day'!Print_Titles</vt:lpstr>
      <vt:lpstr>BAE!Print_Titles</vt:lpstr>
      <vt:lpstr>Barge!Print_Titles</vt:lpstr>
      <vt:lpstr>'C1'!Print_Titles</vt:lpstr>
      <vt:lpstr>'C2'!Print_Titles</vt:lpstr>
      <vt:lpstr>'C3'!Print_Titles</vt:lpstr>
      <vt:lpstr>'C4'!Print_Titles</vt:lpstr>
      <vt:lpstr>Cent!Print_Titles</vt:lpstr>
      <vt:lpstr>CPF!Print_Titles</vt:lpstr>
      <vt:lpstr>'D1'!Print_Titles</vt:lpstr>
      <vt:lpstr>'Day flow'!Print_Titles</vt:lpstr>
      <vt:lpstr>DS!Print_Titles</vt:lpstr>
      <vt:lpstr>E!Print_Titles</vt:lpstr>
      <vt:lpstr>'LT1'!Print_Titles</vt:lpstr>
      <vt:lpstr>NPM!Print_Titles</vt:lpstr>
      <vt:lpstr>'P16'!Print_Titles</vt:lpstr>
      <vt:lpstr>'P17'!Print_Titles</vt:lpstr>
      <vt:lpstr>'P32'!Print_Titles</vt:lpstr>
      <vt:lpstr>'P33'!Print_Titles</vt:lpstr>
      <vt:lpstr>'P34'!Print_Titles</vt:lpstr>
      <vt:lpstr>'P35'!Print_Titles</vt:lpstr>
      <vt:lpstr>'P36'!Print_Titles</vt:lpstr>
      <vt:lpstr>'P37'!Print_Titles</vt:lpstr>
      <vt:lpstr>'P38'!Print_Titles</vt:lpstr>
      <vt:lpstr>'P40'!Print_Titles</vt:lpstr>
      <vt:lpstr>'P41'!Print_Titles</vt:lpstr>
      <vt:lpstr>'P43'!Print_Titles</vt:lpstr>
      <vt:lpstr>'P44'!Print_Titles</vt:lpstr>
      <vt:lpstr>RT!Print_Titles</vt:lpstr>
      <vt:lpstr>RTE!Print_Titles</vt:lpstr>
      <vt:lpstr>RTW!Print_Titles</vt:lpstr>
      <vt:lpstr>Sun!Print_Titles</vt:lpstr>
      <vt:lpstr>US!Print_Titles</vt:lpstr>
      <vt:lpstr>'U-SS'!Print_Titles</vt:lpstr>
      <vt:lpstr>'W1'!Print_Titles</vt:lpstr>
      <vt:lpstr>'W1000'!Print_Titles</vt:lpstr>
      <vt:lpstr>'W11'!Print_Titles</vt:lpstr>
      <vt:lpstr>'W3'!Print_Titles</vt:lpstr>
      <vt:lpstr>'W4'!Print_Titles</vt:lpstr>
      <vt:lpstr>'W5'!Print_Titles</vt:lpstr>
      <vt:lpstr>'W6'!Print_Titles</vt:lpstr>
      <vt:lpstr>'W7'!Print_Titles</vt:lpstr>
      <vt:lpstr>'W8'!Print_Titles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vbell</dc:creator>
  <cp:lastModifiedBy>Bell, Vanessa</cp:lastModifiedBy>
  <cp:lastPrinted>2019-02-25T17:58:42Z</cp:lastPrinted>
  <dcterms:created xsi:type="dcterms:W3CDTF">2018-02-06T20:25:18Z</dcterms:created>
  <dcterms:modified xsi:type="dcterms:W3CDTF">2019-07-09T19:08:44Z</dcterms:modified>
</cp:coreProperties>
</file>