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hidePivotFieldList="1" showPivotChartFilter="1" defaultThemeVersion="124226"/>
  <mc:AlternateContent xmlns:mc="http://schemas.openxmlformats.org/markup-compatibility/2006">
    <mc:Choice Requires="x15">
      <x15ac:absPath xmlns:x15ac="http://schemas.microsoft.com/office/spreadsheetml/2010/11/ac" url="C:\Temp\01.Indicators\01.EPR\Data\"/>
    </mc:Choice>
  </mc:AlternateContent>
  <xr:revisionPtr revIDLastSave="0" documentId="13_ncr:1_{AB1B0D88-D346-4DAD-BBEC-A77BAD6C2DDE}" xr6:coauthVersionLast="36" xr6:coauthVersionMax="36" xr10:uidLastSave="{00000000-0000-0000-0000-000000000000}"/>
  <bookViews>
    <workbookView xWindow="3084" yWindow="756" windowWidth="18960" windowHeight="14364" tabRatio="841" xr2:uid="{00000000-000D-0000-FFFF-FFFF00000000}"/>
  </bookViews>
  <sheets>
    <sheet name="Bevs(2000-2017)" sheetId="3" r:id="rId1"/>
    <sheet name="Oil(2003-2017) " sheetId="4" r:id="rId2"/>
    <sheet name="Tires(2007-2017)" sheetId="6" r:id="rId3"/>
    <sheet name="Paints-Flam-Pest(2000-2017)" sheetId="7" r:id="rId4"/>
    <sheet name="Elect(2007-2017)" sheetId="8" r:id="rId5"/>
    <sheet name="Lead-Acid Batteries (2012-2017)" sheetId="13" r:id="rId6"/>
    <sheet name="Pharm(2000-2017)" sheetId="9" r:id="rId7"/>
    <sheet name="PPP(2014-2017)" sheetId="16" r:id="rId8"/>
    <sheet name="BC Population Stats " sheetId="14" r:id="rId9"/>
    <sheet name="Program Financials" sheetId="17" r:id="rId10"/>
    <sheet name="Overview" sheetId="11" r:id="rId11"/>
    <sheet name=" Program Collection (tonnes)" sheetId="15" r:id="rId12"/>
    <sheet name="Collection System" sheetId="18" r:id="rId13"/>
  </sheets>
  <externalReferences>
    <externalReference r:id="rId14"/>
  </externalReferences>
  <definedNames>
    <definedName name="_xlnm.Print_Area" localSheetId="0">'Bevs(2000-2017)'!$B$1:$L$294</definedName>
    <definedName name="_xlnm.Print_Area" localSheetId="4">'Elect(2007-2017)'!$B$84:$K$163</definedName>
    <definedName name="_xlnm.Print_Area" localSheetId="5">'Lead-Acid Batteries (2012-2017)'!$B$1:$C$3</definedName>
    <definedName name="_xlnm.Print_Area" localSheetId="1">'Oil(2003-2017) '!$B$1:$N$172</definedName>
    <definedName name="_xlnm.Print_Area" localSheetId="10">Overview!$C$2:$Y$93</definedName>
    <definedName name="_xlnm.Print_Area" localSheetId="3">'Paints-Flam-Pest(2000-2017)'!$B$188:$L$204</definedName>
    <definedName name="_xlnm.Print_Area" localSheetId="6">'Pharm(2000-2017)'!$B$1:$L$164</definedName>
    <definedName name="_xlnm.Print_Area" localSheetId="2">'Tires(2007-2017)'!$B$1:$J$59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03" i="3" l="1"/>
  <c r="E303" i="3"/>
  <c r="F303" i="3"/>
  <c r="G303" i="3"/>
  <c r="H303" i="3"/>
  <c r="I303" i="3"/>
  <c r="J303" i="3"/>
  <c r="K303" i="3"/>
  <c r="L303" i="3"/>
  <c r="M303" i="3"/>
  <c r="N303" i="3"/>
  <c r="O303" i="3"/>
  <c r="P303" i="3"/>
  <c r="Q303" i="3"/>
  <c r="R303" i="3"/>
  <c r="S303" i="3"/>
  <c r="T303" i="3"/>
  <c r="U303" i="3"/>
  <c r="D302" i="3"/>
  <c r="E302" i="3"/>
  <c r="F302" i="3"/>
  <c r="G302" i="3"/>
  <c r="H302" i="3"/>
  <c r="I302" i="3"/>
  <c r="J302" i="3"/>
  <c r="K302" i="3"/>
  <c r="L302" i="3"/>
  <c r="M302" i="3"/>
  <c r="N302" i="3"/>
  <c r="O302" i="3"/>
  <c r="P302" i="3"/>
  <c r="Q302" i="3"/>
  <c r="R302" i="3"/>
  <c r="S302" i="3"/>
  <c r="T302" i="3"/>
  <c r="U302" i="3"/>
  <c r="D300" i="3"/>
  <c r="D73" i="11" s="1"/>
  <c r="E300" i="3"/>
  <c r="E73" i="11" s="1"/>
  <c r="F300" i="3"/>
  <c r="F73" i="11" s="1"/>
  <c r="G300" i="3"/>
  <c r="G73" i="11" s="1"/>
  <c r="H300" i="3"/>
  <c r="H73" i="11" s="1"/>
  <c r="R300" i="3"/>
  <c r="R73" i="11" s="1"/>
  <c r="S300" i="3"/>
  <c r="S73" i="11" s="1"/>
  <c r="U300" i="3"/>
  <c r="U73" i="11" s="1"/>
  <c r="H299" i="3"/>
  <c r="H301" i="3" s="1"/>
  <c r="H74" i="11" s="1"/>
  <c r="D299" i="3"/>
  <c r="D72" i="11" s="1"/>
  <c r="E299" i="3"/>
  <c r="E72" i="11" s="1"/>
  <c r="F299" i="3"/>
  <c r="F301" i="3" s="1"/>
  <c r="F74" i="11" s="1"/>
  <c r="G299" i="3"/>
  <c r="G301" i="3" s="1"/>
  <c r="G74" i="11" s="1"/>
  <c r="R299" i="3"/>
  <c r="R301" i="3" s="1"/>
  <c r="R74" i="11" s="1"/>
  <c r="T299" i="3"/>
  <c r="T72" i="11" s="1"/>
  <c r="U299" i="3"/>
  <c r="U72" i="11" s="1"/>
  <c r="D306" i="3"/>
  <c r="E306" i="3"/>
  <c r="F306" i="3"/>
  <c r="G306" i="3"/>
  <c r="H306" i="3"/>
  <c r="I306" i="3"/>
  <c r="K306" i="3"/>
  <c r="L306" i="3"/>
  <c r="M306" i="3"/>
  <c r="N306" i="3"/>
  <c r="O306" i="3"/>
  <c r="P306" i="3"/>
  <c r="Q306" i="3"/>
  <c r="R306" i="3"/>
  <c r="S306" i="3"/>
  <c r="T306" i="3"/>
  <c r="U306" i="3"/>
  <c r="D305" i="3"/>
  <c r="E305" i="3"/>
  <c r="F305" i="3"/>
  <c r="G305" i="3"/>
  <c r="H305" i="3"/>
  <c r="I305" i="3"/>
  <c r="K305" i="3"/>
  <c r="L305" i="3"/>
  <c r="M305" i="3"/>
  <c r="N305" i="3"/>
  <c r="O305" i="3"/>
  <c r="P305" i="3"/>
  <c r="Q305" i="3"/>
  <c r="R305" i="3"/>
  <c r="S305" i="3"/>
  <c r="T305" i="3"/>
  <c r="U305" i="3"/>
  <c r="U301" i="3" l="1"/>
  <c r="U74" i="11" s="1"/>
  <c r="E301" i="3"/>
  <c r="E74" i="11" s="1"/>
  <c r="T301" i="3"/>
  <c r="T74" i="11" s="1"/>
  <c r="D301" i="3"/>
  <c r="D74" i="11" s="1"/>
  <c r="R72" i="11"/>
  <c r="H72" i="11"/>
  <c r="G72" i="11"/>
  <c r="F72" i="11"/>
  <c r="C98" i="16"/>
  <c r="S68" i="11" s="1"/>
  <c r="D98" i="16"/>
  <c r="T68" i="11" s="1"/>
  <c r="E94" i="16"/>
  <c r="M61" i="11"/>
  <c r="O61" i="11"/>
  <c r="P61" i="11"/>
  <c r="R61" i="11"/>
  <c r="D724" i="8"/>
  <c r="K61" i="11" s="1"/>
  <c r="E724" i="8"/>
  <c r="L61" i="11" s="1"/>
  <c r="F724" i="8"/>
  <c r="H724" i="8"/>
  <c r="I724" i="8"/>
  <c r="K724" i="8"/>
  <c r="L724" i="8"/>
  <c r="S61" i="11" s="1"/>
  <c r="M724" i="8"/>
  <c r="T61" i="11" s="1"/>
  <c r="G724" i="8"/>
  <c r="N61" i="11" s="1"/>
  <c r="K694" i="8"/>
  <c r="J694" i="8"/>
  <c r="J724" i="8" s="1"/>
  <c r="Q61" i="11" s="1"/>
  <c r="H170" i="8"/>
  <c r="I170" i="8"/>
  <c r="J170" i="8"/>
  <c r="K170" i="8"/>
  <c r="L170" i="8"/>
  <c r="M170" i="8"/>
  <c r="N170" i="8"/>
  <c r="T65" i="11"/>
  <c r="U65" i="11"/>
  <c r="G48" i="11"/>
  <c r="H48" i="11"/>
  <c r="I48" i="11"/>
  <c r="G44" i="11"/>
  <c r="H44" i="11"/>
  <c r="I44" i="11"/>
  <c r="G46" i="11"/>
  <c r="H46" i="11"/>
  <c r="I46" i="11"/>
  <c r="H45" i="11"/>
  <c r="I45" i="11"/>
  <c r="J45" i="11"/>
  <c r="K45" i="11"/>
  <c r="L45" i="11"/>
  <c r="P45" i="11"/>
  <c r="Q45" i="11"/>
  <c r="R45" i="11"/>
  <c r="S45" i="11"/>
  <c r="T45" i="11"/>
  <c r="U45" i="11"/>
  <c r="G45" i="11"/>
  <c r="T48" i="11"/>
  <c r="U48" i="11"/>
  <c r="T47" i="11"/>
  <c r="U47" i="11"/>
  <c r="T46" i="11"/>
  <c r="U46" i="11"/>
  <c r="T44" i="11"/>
  <c r="U44" i="11"/>
  <c r="T43" i="11"/>
  <c r="U43" i="11"/>
  <c r="T42" i="11"/>
  <c r="U42" i="11"/>
  <c r="T41" i="11"/>
  <c r="U41" i="11"/>
  <c r="T40" i="11"/>
  <c r="U40" i="11"/>
  <c r="T36" i="11"/>
  <c r="U36" i="11"/>
  <c r="T35" i="11"/>
  <c r="U35" i="11"/>
  <c r="T34" i="11"/>
  <c r="U34" i="11"/>
  <c r="T33" i="11"/>
  <c r="U33" i="11"/>
  <c r="T32" i="11"/>
  <c r="U32" i="11"/>
  <c r="T31" i="11"/>
  <c r="U31" i="11"/>
  <c r="T16" i="11"/>
  <c r="U16" i="11"/>
  <c r="T15" i="11"/>
  <c r="U15" i="11"/>
  <c r="T14" i="11"/>
  <c r="U14" i="11"/>
  <c r="S24" i="11"/>
  <c r="T24" i="11"/>
  <c r="U24" i="11"/>
  <c r="E310" i="3"/>
  <c r="F310" i="3"/>
  <c r="G310" i="3"/>
  <c r="H310" i="3"/>
  <c r="I310" i="3"/>
  <c r="E309" i="3"/>
  <c r="F309" i="3"/>
  <c r="G309" i="3"/>
  <c r="H309" i="3"/>
  <c r="I309" i="3"/>
  <c r="L313" i="3"/>
  <c r="U313" i="3"/>
  <c r="L312" i="3"/>
  <c r="J57" i="3"/>
  <c r="J312" i="3" s="1"/>
  <c r="L310" i="3"/>
  <c r="R310" i="3"/>
  <c r="S310" i="3"/>
  <c r="T310" i="3"/>
  <c r="U310" i="3"/>
  <c r="U309" i="3"/>
  <c r="L309" i="3"/>
  <c r="R309" i="3"/>
  <c r="S309" i="3"/>
  <c r="T309" i="3"/>
  <c r="L311" i="3" l="1"/>
  <c r="J182" i="3"/>
  <c r="K182" i="3"/>
  <c r="L182" i="3"/>
  <c r="M182" i="3"/>
  <c r="N182" i="3"/>
  <c r="O182" i="3"/>
  <c r="Q182" i="3"/>
  <c r="R182" i="3"/>
  <c r="S182" i="3"/>
  <c r="T182" i="3"/>
  <c r="U182" i="3"/>
  <c r="P182" i="3"/>
  <c r="U142" i="3" l="1"/>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41" i="3"/>
  <c r="U170" i="3"/>
  <c r="R141" i="3" l="1"/>
  <c r="T142" i="3"/>
  <c r="T143" i="3"/>
  <c r="T144" i="3"/>
  <c r="T145" i="3"/>
  <c r="T146" i="3"/>
  <c r="T147" i="3"/>
  <c r="T148" i="3"/>
  <c r="T150" i="3"/>
  <c r="T151" i="3"/>
  <c r="T152" i="3"/>
  <c r="T153" i="3"/>
  <c r="T154" i="3"/>
  <c r="T155" i="3"/>
  <c r="T156" i="3"/>
  <c r="T157" i="3"/>
  <c r="T158" i="3"/>
  <c r="T159" i="3"/>
  <c r="T160" i="3"/>
  <c r="T161" i="3"/>
  <c r="T162" i="3"/>
  <c r="T163" i="3"/>
  <c r="T164" i="3"/>
  <c r="T165" i="3"/>
  <c r="T166" i="3"/>
  <c r="T167" i="3"/>
  <c r="T168" i="3"/>
  <c r="T169" i="3"/>
  <c r="T141" i="3"/>
  <c r="E28" i="15" l="1"/>
  <c r="C10" i="15"/>
  <c r="D10" i="15"/>
  <c r="E10" i="15"/>
  <c r="B10" i="15"/>
  <c r="C6" i="15"/>
  <c r="D6" i="15"/>
  <c r="E6" i="15"/>
  <c r="B6" i="15"/>
  <c r="T56" i="11"/>
  <c r="U56" i="11"/>
  <c r="T55" i="11"/>
  <c r="U55" i="11"/>
  <c r="T52" i="11"/>
  <c r="U52" i="11"/>
  <c r="T53" i="11"/>
  <c r="U53" i="11"/>
  <c r="U54" i="11"/>
  <c r="T54" i="11"/>
  <c r="U8" i="11"/>
  <c r="U7" i="11"/>
  <c r="U9" i="11" s="1"/>
  <c r="T7" i="11"/>
  <c r="T9" i="11" s="1"/>
  <c r="T8" i="11"/>
  <c r="E80" i="17"/>
  <c r="E79" i="17"/>
  <c r="E78" i="17"/>
  <c r="B26" i="17"/>
  <c r="C26" i="17"/>
  <c r="D26" i="17"/>
  <c r="E26" i="17"/>
  <c r="B19" i="17"/>
  <c r="C19" i="17"/>
  <c r="D19" i="17"/>
  <c r="D87" i="7"/>
  <c r="E87" i="7"/>
  <c r="F87" i="7"/>
  <c r="G87" i="7"/>
  <c r="H87" i="7"/>
  <c r="I87" i="7"/>
  <c r="J87" i="7"/>
  <c r="K87" i="7"/>
  <c r="L87" i="7"/>
  <c r="M87" i="7"/>
  <c r="N87" i="7"/>
  <c r="O87" i="7"/>
  <c r="P87" i="7"/>
  <c r="Q87" i="7"/>
  <c r="R87" i="7"/>
  <c r="S87" i="7"/>
  <c r="T87" i="7"/>
  <c r="E19" i="17"/>
  <c r="U87" i="7"/>
  <c r="E75" i="17"/>
  <c r="E73" i="17"/>
  <c r="E69" i="17"/>
  <c r="E67" i="17"/>
  <c r="E49" i="17"/>
  <c r="E38" i="17"/>
  <c r="B36" i="17"/>
  <c r="E36" i="17"/>
  <c r="E44" i="17"/>
  <c r="E42" i="17"/>
  <c r="E30" i="17"/>
  <c r="E24" i="17"/>
  <c r="E17" i="17"/>
  <c r="D28" i="15"/>
  <c r="C28" i="15"/>
  <c r="B28" i="15"/>
  <c r="L106" i="8" l="1"/>
  <c r="L660" i="8"/>
  <c r="L659" i="8"/>
  <c r="L657" i="8"/>
  <c r="L656" i="8"/>
  <c r="L655" i="8"/>
  <c r="L654" i="8"/>
  <c r="L653" i="8"/>
  <c r="L652" i="8"/>
  <c r="L651" i="8"/>
  <c r="L650" i="8"/>
  <c r="L649" i="8"/>
  <c r="L648" i="8"/>
  <c r="L647" i="8"/>
  <c r="L646" i="8"/>
  <c r="L645" i="8"/>
  <c r="L644" i="8"/>
  <c r="L643" i="8"/>
  <c r="L642" i="8"/>
  <c r="L641" i="8"/>
  <c r="L640" i="8"/>
  <c r="L639" i="8"/>
  <c r="L638" i="8"/>
  <c r="L637" i="8"/>
  <c r="L636" i="8"/>
  <c r="L635" i="8"/>
  <c r="L634" i="8"/>
  <c r="L633" i="8"/>
  <c r="N721" i="8"/>
  <c r="M721" i="8"/>
  <c r="N257" i="8"/>
  <c r="N258" i="8"/>
  <c r="N259" i="8"/>
  <c r="N260" i="8"/>
  <c r="N261" i="8"/>
  <c r="N262" i="8"/>
  <c r="N263" i="8"/>
  <c r="N264" i="8"/>
  <c r="N266" i="8"/>
  <c r="N267" i="8"/>
  <c r="N268" i="8"/>
  <c r="N269" i="8"/>
  <c r="N270" i="8"/>
  <c r="N271" i="8"/>
  <c r="N272" i="8"/>
  <c r="N273" i="8"/>
  <c r="N274" i="8"/>
  <c r="N275" i="8"/>
  <c r="N276" i="8"/>
  <c r="N277" i="8"/>
  <c r="N278" i="8"/>
  <c r="N279" i="8"/>
  <c r="N280" i="8"/>
  <c r="N281" i="8"/>
  <c r="N282" i="8"/>
  <c r="N283" i="8"/>
  <c r="N284" i="8"/>
  <c r="N25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176" i="8"/>
  <c r="N177" i="8"/>
  <c r="N178" i="8"/>
  <c r="N179" i="8"/>
  <c r="N180" i="8"/>
  <c r="N181" i="8"/>
  <c r="N182" i="8"/>
  <c r="N183" i="8"/>
  <c r="N184" i="8"/>
  <c r="N185" i="8"/>
  <c r="N186" i="8"/>
  <c r="N187" i="8"/>
  <c r="N188" i="8"/>
  <c r="N189" i="8"/>
  <c r="N190" i="8"/>
  <c r="N191" i="8"/>
  <c r="N192" i="8"/>
  <c r="N193" i="8"/>
  <c r="N194" i="8"/>
  <c r="N195" i="8"/>
  <c r="N196" i="8"/>
  <c r="N197" i="8"/>
  <c r="N198" i="8"/>
  <c r="N199" i="8"/>
  <c r="N200" i="8"/>
  <c r="N201" i="8"/>
  <c r="N202" i="8"/>
  <c r="N203" i="8"/>
  <c r="N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176"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94" i="8"/>
  <c r="M121" i="8" l="1"/>
  <c r="M120" i="8"/>
  <c r="M105" i="8"/>
  <c r="M106" i="8"/>
  <c r="M107" i="8"/>
  <c r="M108" i="8"/>
  <c r="M109" i="8"/>
  <c r="M119" i="8"/>
  <c r="M95" i="8"/>
  <c r="M96" i="8"/>
  <c r="M97" i="8"/>
  <c r="M98" i="8"/>
  <c r="M99" i="8"/>
  <c r="M100" i="8"/>
  <c r="M101" i="8"/>
  <c r="M102" i="8"/>
  <c r="M103" i="8"/>
  <c r="M104" i="8"/>
  <c r="M110" i="8"/>
  <c r="M111" i="8"/>
  <c r="M112" i="8"/>
  <c r="M113" i="8"/>
  <c r="M114" i="8"/>
  <c r="M115" i="8"/>
  <c r="M116" i="8"/>
  <c r="M117" i="8"/>
  <c r="M118" i="8"/>
  <c r="M94" i="8"/>
  <c r="L105" i="8"/>
  <c r="S122" i="8" l="1"/>
  <c r="N122" i="8" s="1"/>
  <c r="R204" i="8" l="1"/>
  <c r="N204" i="8" s="1"/>
  <c r="Q204" i="8"/>
  <c r="P204" i="8"/>
  <c r="L95" i="8"/>
  <c r="L96" i="8"/>
  <c r="L97" i="8"/>
  <c r="L98" i="8"/>
  <c r="L99" i="8"/>
  <c r="L100" i="8"/>
  <c r="L101" i="8"/>
  <c r="L102" i="8"/>
  <c r="L103" i="8"/>
  <c r="L104" i="8"/>
  <c r="L107" i="8"/>
  <c r="L108" i="8"/>
  <c r="L109" i="8"/>
  <c r="L110" i="8"/>
  <c r="L111" i="8"/>
  <c r="L112" i="8"/>
  <c r="L113" i="8"/>
  <c r="L114" i="8"/>
  <c r="L115" i="8"/>
  <c r="L116" i="8"/>
  <c r="L117" i="8"/>
  <c r="L118" i="8"/>
  <c r="L119" i="8"/>
  <c r="L120" i="8"/>
  <c r="L121" i="8"/>
  <c r="L94" i="8"/>
  <c r="Q122" i="8"/>
  <c r="M251" i="8" l="1"/>
  <c r="M204" i="8" s="1"/>
  <c r="L251" i="8"/>
  <c r="L204" i="8" s="1"/>
  <c r="K251" i="8"/>
  <c r="L257" i="8"/>
  <c r="L258" i="8"/>
  <c r="L259" i="8"/>
  <c r="L260" i="8"/>
  <c r="L261" i="8"/>
  <c r="L262" i="8"/>
  <c r="L263" i="8"/>
  <c r="L264" i="8"/>
  <c r="L266" i="8"/>
  <c r="L267" i="8"/>
  <c r="L268" i="8"/>
  <c r="L269" i="8"/>
  <c r="L270" i="8"/>
  <c r="L271" i="8"/>
  <c r="L272" i="8"/>
  <c r="L273" i="8"/>
  <c r="L274" i="8"/>
  <c r="L275" i="8"/>
  <c r="L276" i="8"/>
  <c r="L277" i="8"/>
  <c r="L278" i="8"/>
  <c r="L279" i="8"/>
  <c r="L280" i="8"/>
  <c r="L281" i="8"/>
  <c r="L282" i="8"/>
  <c r="L283" i="8"/>
  <c r="L284" i="8"/>
  <c r="L256" i="8"/>
  <c r="N627"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33" i="8"/>
  <c r="N634" i="8"/>
  <c r="N635" i="8"/>
  <c r="N636" i="8"/>
  <c r="N637" i="8"/>
  <c r="N638" i="8"/>
  <c r="N639" i="8"/>
  <c r="N640" i="8"/>
  <c r="N641" i="8"/>
  <c r="N642" i="8"/>
  <c r="N643" i="8"/>
  <c r="N644" i="8"/>
  <c r="N645" i="8"/>
  <c r="N646" i="8"/>
  <c r="N647" i="8"/>
  <c r="N648" i="8"/>
  <c r="N649" i="8"/>
  <c r="N650" i="8"/>
  <c r="N651" i="8"/>
  <c r="N652" i="8"/>
  <c r="N653" i="8"/>
  <c r="N654" i="8"/>
  <c r="N655" i="8"/>
  <c r="N656" i="8"/>
  <c r="N657" i="8"/>
  <c r="N658" i="8"/>
  <c r="N659" i="8"/>
  <c r="N660" i="8"/>
  <c r="N633" i="8"/>
  <c r="S661" i="8"/>
  <c r="R661" i="8"/>
  <c r="M661" i="8" s="1"/>
  <c r="Q661" i="8"/>
  <c r="L370" i="8"/>
  <c r="L355" i="8"/>
  <c r="M336" i="8"/>
  <c r="N512" i="8"/>
  <c r="N513" i="8" s="1"/>
  <c r="N528" i="8"/>
  <c r="K336" i="8"/>
  <c r="H336" i="8"/>
  <c r="I336" i="8"/>
  <c r="J336" i="8"/>
  <c r="L336" i="8"/>
  <c r="N336" i="8"/>
  <c r="O285" i="8"/>
  <c r="P285" i="8"/>
  <c r="M285" i="8" s="1"/>
  <c r="Q285" i="8"/>
  <c r="N285" i="8" s="1"/>
  <c r="N538" i="8"/>
  <c r="N548" i="8"/>
  <c r="E48" i="16" l="1"/>
  <c r="E98" i="16" s="1"/>
  <c r="U68" i="11" s="1"/>
  <c r="E11" i="18" l="1"/>
  <c r="E16" i="18"/>
  <c r="E17" i="18"/>
  <c r="E18" i="18"/>
  <c r="E3" i="18"/>
  <c r="E4" i="18"/>
  <c r="E5" i="18"/>
  <c r="E6" i="18"/>
  <c r="E7" i="18"/>
  <c r="E8" i="18"/>
  <c r="E9" i="18"/>
  <c r="E10" i="18"/>
  <c r="E12" i="18"/>
  <c r="E13" i="18"/>
  <c r="E14" i="18"/>
  <c r="E15" i="18"/>
  <c r="E19" i="18"/>
  <c r="E20" i="18"/>
  <c r="E2" i="18"/>
  <c r="U187" i="7" l="1"/>
  <c r="U184" i="7"/>
  <c r="U181" i="7"/>
  <c r="U178" i="7"/>
  <c r="U175" i="7"/>
  <c r="U172" i="7"/>
  <c r="U169" i="7"/>
  <c r="U166" i="7"/>
  <c r="U163" i="7"/>
  <c r="U160" i="7"/>
  <c r="U157" i="7"/>
  <c r="U154" i="7"/>
  <c r="U151" i="7"/>
  <c r="U148" i="7"/>
  <c r="U145" i="7"/>
  <c r="U142" i="7"/>
  <c r="U139" i="7"/>
  <c r="U136" i="7"/>
  <c r="U133" i="7"/>
  <c r="U130" i="7"/>
  <c r="U124" i="7"/>
  <c r="U121" i="7"/>
  <c r="U118" i="7"/>
  <c r="U115" i="7"/>
  <c r="U112" i="7"/>
  <c r="U109" i="7"/>
  <c r="U106" i="7"/>
  <c r="U103" i="7"/>
  <c r="U100" i="7"/>
  <c r="B31" i="14"/>
  <c r="U71" i="7" l="1"/>
  <c r="U208" i="7" l="1"/>
  <c r="U193" i="3" l="1"/>
  <c r="U307" i="3" s="1"/>
  <c r="U47" i="3"/>
  <c r="U57" i="3" l="1"/>
  <c r="U312" i="3" s="1"/>
  <c r="U311" i="3" s="1"/>
  <c r="E63" i="17" l="1"/>
  <c r="E61" i="17"/>
  <c r="E57" i="17"/>
  <c r="E55" i="17"/>
  <c r="E13" i="17"/>
  <c r="E11" i="17"/>
  <c r="E7" i="17"/>
  <c r="E5" i="17"/>
  <c r="N692" i="8" l="1"/>
  <c r="L716" i="8"/>
  <c r="M716" i="8"/>
  <c r="N716" i="8"/>
  <c r="K716" i="8"/>
  <c r="N694" i="8" l="1"/>
  <c r="N724" i="8" s="1"/>
  <c r="N661" i="8"/>
  <c r="U171" i="9"/>
  <c r="M58" i="6"/>
  <c r="M57" i="6"/>
  <c r="U61" i="11" l="1"/>
  <c r="V61" i="11" s="1"/>
  <c r="N725" i="8"/>
  <c r="M511" i="8"/>
  <c r="M538" i="8"/>
  <c r="M548" i="8"/>
  <c r="M528" i="8"/>
  <c r="M267" i="8"/>
  <c r="M268" i="8"/>
  <c r="M269" i="8"/>
  <c r="M270" i="8"/>
  <c r="M271" i="8"/>
  <c r="M272" i="8"/>
  <c r="M273" i="8"/>
  <c r="M274" i="8"/>
  <c r="M275" i="8"/>
  <c r="M276" i="8"/>
  <c r="M277" i="8"/>
  <c r="M278" i="8"/>
  <c r="M279" i="8"/>
  <c r="M280" i="8"/>
  <c r="M281" i="8"/>
  <c r="M282" i="8"/>
  <c r="M283" i="8"/>
  <c r="M284" i="8"/>
  <c r="M257" i="8"/>
  <c r="M258" i="8"/>
  <c r="M259" i="8"/>
  <c r="M260" i="8"/>
  <c r="M261" i="8"/>
  <c r="M262" i="8"/>
  <c r="M263" i="8"/>
  <c r="M264" i="8"/>
  <c r="M266" i="8"/>
  <c r="M256" i="8"/>
  <c r="M122" i="8"/>
  <c r="M627" i="8" l="1"/>
  <c r="D7" i="13"/>
  <c r="T11" i="7"/>
  <c r="T12" i="7"/>
  <c r="T13" i="7"/>
  <c r="T14" i="7"/>
  <c r="T15" i="7"/>
  <c r="T16" i="7"/>
  <c r="T17" i="7"/>
  <c r="T18" i="7"/>
  <c r="T19" i="7"/>
  <c r="T21" i="7"/>
  <c r="T22" i="7"/>
  <c r="T23" i="7"/>
  <c r="T24" i="7"/>
  <c r="T25" i="7"/>
  <c r="T26" i="7"/>
  <c r="T27" i="7"/>
  <c r="T28" i="7"/>
  <c r="T29" i="7"/>
  <c r="T30" i="7"/>
  <c r="T31" i="7"/>
  <c r="T32" i="7"/>
  <c r="T33" i="7"/>
  <c r="T34" i="7"/>
  <c r="T35" i="7"/>
  <c r="T36" i="7"/>
  <c r="T37" i="7"/>
  <c r="T38" i="7"/>
  <c r="T39" i="7"/>
  <c r="S25" i="7"/>
  <c r="T86" i="7"/>
  <c r="T208" i="7"/>
  <c r="T185" i="7"/>
  <c r="T186" i="7"/>
  <c r="S186" i="7"/>
  <c r="L58" i="6"/>
  <c r="K58" i="6"/>
  <c r="J58" i="6"/>
  <c r="I58" i="6"/>
  <c r="L57" i="6"/>
  <c r="L36" i="6"/>
  <c r="L721" i="8"/>
  <c r="K721" i="8"/>
  <c r="F721" i="8"/>
  <c r="L692" i="8"/>
  <c r="K661" i="8"/>
  <c r="J661" i="8"/>
  <c r="K660" i="8"/>
  <c r="J660" i="8"/>
  <c r="K659" i="8"/>
  <c r="J659" i="8"/>
  <c r="K657" i="8"/>
  <c r="J657" i="8"/>
  <c r="K656" i="8"/>
  <c r="J656" i="8"/>
  <c r="K655" i="8"/>
  <c r="J655" i="8"/>
  <c r="K654" i="8"/>
  <c r="J654" i="8"/>
  <c r="K653" i="8"/>
  <c r="J653" i="8"/>
  <c r="K652" i="8"/>
  <c r="J652" i="8"/>
  <c r="K651" i="8"/>
  <c r="J651" i="8"/>
  <c r="K650" i="8"/>
  <c r="J650" i="8"/>
  <c r="K649" i="8"/>
  <c r="J649" i="8"/>
  <c r="K648" i="8"/>
  <c r="J648" i="8"/>
  <c r="K647" i="8"/>
  <c r="J647" i="8"/>
  <c r="K646" i="8"/>
  <c r="J646" i="8"/>
  <c r="K645" i="8"/>
  <c r="J645" i="8"/>
  <c r="K644" i="8"/>
  <c r="J644" i="8"/>
  <c r="K643" i="8"/>
  <c r="J643" i="8"/>
  <c r="K642" i="8"/>
  <c r="J642" i="8"/>
  <c r="K641" i="8"/>
  <c r="J641" i="8"/>
  <c r="K640" i="8"/>
  <c r="J640" i="8"/>
  <c r="K639" i="8"/>
  <c r="J639" i="8"/>
  <c r="K638" i="8"/>
  <c r="J638" i="8"/>
  <c r="K637" i="8"/>
  <c r="J637" i="8"/>
  <c r="K636" i="8"/>
  <c r="J636" i="8"/>
  <c r="K635" i="8"/>
  <c r="J635" i="8"/>
  <c r="K634" i="8"/>
  <c r="J634" i="8"/>
  <c r="K633" i="8"/>
  <c r="J633" i="8"/>
  <c r="L627" i="8"/>
  <c r="K627" i="8"/>
  <c r="J595" i="8"/>
  <c r="J594" i="8"/>
  <c r="J593" i="8"/>
  <c r="I563" i="8"/>
  <c r="I558" i="8"/>
  <c r="J553" i="8"/>
  <c r="I553" i="8"/>
  <c r="L548" i="8"/>
  <c r="K548" i="8"/>
  <c r="J548" i="8"/>
  <c r="I548" i="8"/>
  <c r="H541" i="8"/>
  <c r="H538" i="8" s="1"/>
  <c r="G541" i="8"/>
  <c r="G538" i="8" s="1"/>
  <c r="L538" i="8"/>
  <c r="K538" i="8"/>
  <c r="J538" i="8"/>
  <c r="I538" i="8"/>
  <c r="L533" i="8"/>
  <c r="L532" i="8"/>
  <c r="H530" i="8"/>
  <c r="H527" i="8" s="1"/>
  <c r="G530" i="8"/>
  <c r="G527" i="8" s="1"/>
  <c r="L528" i="8"/>
  <c r="K528" i="8"/>
  <c r="J528" i="8"/>
  <c r="I527" i="8"/>
  <c r="I528" i="8" s="1"/>
  <c r="J521" i="8"/>
  <c r="L511" i="8"/>
  <c r="K511" i="8"/>
  <c r="K513" i="8" s="1"/>
  <c r="J511" i="8"/>
  <c r="J513" i="8" s="1"/>
  <c r="I511" i="8"/>
  <c r="H511" i="8"/>
  <c r="G511" i="8"/>
  <c r="J478" i="8"/>
  <c r="I478" i="8"/>
  <c r="H478" i="8"/>
  <c r="G478" i="8"/>
  <c r="K466" i="8"/>
  <c r="J466" i="8"/>
  <c r="I466" i="8"/>
  <c r="H466" i="8"/>
  <c r="G466" i="8"/>
  <c r="K465" i="8"/>
  <c r="J465" i="8"/>
  <c r="I465" i="8"/>
  <c r="H465" i="8"/>
  <c r="G465" i="8"/>
  <c r="K464" i="8"/>
  <c r="J464" i="8"/>
  <c r="I464" i="8"/>
  <c r="H464" i="8"/>
  <c r="G464" i="8"/>
  <c r="K463" i="8"/>
  <c r="J463" i="8"/>
  <c r="I463" i="8"/>
  <c r="H463" i="8"/>
  <c r="G463" i="8"/>
  <c r="K462" i="8"/>
  <c r="J462" i="8"/>
  <c r="I462" i="8"/>
  <c r="H462" i="8"/>
  <c r="G462" i="8"/>
  <c r="K461" i="8"/>
  <c r="J461" i="8"/>
  <c r="I461" i="8"/>
  <c r="H461" i="8"/>
  <c r="G461" i="8"/>
  <c r="K460" i="8"/>
  <c r="J460" i="8"/>
  <c r="I460" i="8"/>
  <c r="H460" i="8"/>
  <c r="G460" i="8"/>
  <c r="K459" i="8"/>
  <c r="J459" i="8"/>
  <c r="I459" i="8"/>
  <c r="H459" i="8"/>
  <c r="G459" i="8"/>
  <c r="K458" i="8"/>
  <c r="J458" i="8"/>
  <c r="I458" i="8"/>
  <c r="H458" i="8"/>
  <c r="G458" i="8"/>
  <c r="K457" i="8"/>
  <c r="J457" i="8"/>
  <c r="I457" i="8"/>
  <c r="H457" i="8"/>
  <c r="G457" i="8"/>
  <c r="K456" i="8"/>
  <c r="J456" i="8"/>
  <c r="I456" i="8"/>
  <c r="H456" i="8"/>
  <c r="G456" i="8"/>
  <c r="K455" i="8"/>
  <c r="J455" i="8"/>
  <c r="I455" i="8"/>
  <c r="H455" i="8"/>
  <c r="G455" i="8"/>
  <c r="K454" i="8"/>
  <c r="J454" i="8"/>
  <c r="I454" i="8"/>
  <c r="H454" i="8"/>
  <c r="G454" i="8"/>
  <c r="K453" i="8"/>
  <c r="J453" i="8"/>
  <c r="I453" i="8"/>
  <c r="H453" i="8"/>
  <c r="G453" i="8"/>
  <c r="K452" i="8"/>
  <c r="J452" i="8"/>
  <c r="I452" i="8"/>
  <c r="H452" i="8"/>
  <c r="G452" i="8"/>
  <c r="K451" i="8"/>
  <c r="J451" i="8"/>
  <c r="I451" i="8"/>
  <c r="H451" i="8"/>
  <c r="G451" i="8"/>
  <c r="K450" i="8"/>
  <c r="J450" i="8"/>
  <c r="I450" i="8"/>
  <c r="H450" i="8"/>
  <c r="G450" i="8"/>
  <c r="K449" i="8"/>
  <c r="J449" i="8"/>
  <c r="I449" i="8"/>
  <c r="H449" i="8"/>
  <c r="G449" i="8"/>
  <c r="K448" i="8"/>
  <c r="J448" i="8"/>
  <c r="I448" i="8"/>
  <c r="H448" i="8"/>
  <c r="G448" i="8"/>
  <c r="K447" i="8"/>
  <c r="J447" i="8"/>
  <c r="I447" i="8"/>
  <c r="H447" i="8"/>
  <c r="G447" i="8"/>
  <c r="K446" i="8"/>
  <c r="J446" i="8"/>
  <c r="I446" i="8"/>
  <c r="H446" i="8"/>
  <c r="G446" i="8"/>
  <c r="K445" i="8"/>
  <c r="J445" i="8"/>
  <c r="I445" i="8"/>
  <c r="H445" i="8"/>
  <c r="G445" i="8"/>
  <c r="K444" i="8"/>
  <c r="J444" i="8"/>
  <c r="I444" i="8"/>
  <c r="H444" i="8"/>
  <c r="G444" i="8"/>
  <c r="K443" i="8"/>
  <c r="J443" i="8"/>
  <c r="I443" i="8"/>
  <c r="H443" i="8"/>
  <c r="G443" i="8"/>
  <c r="K442" i="8"/>
  <c r="J442" i="8"/>
  <c r="I442" i="8"/>
  <c r="H442" i="8"/>
  <c r="G442" i="8"/>
  <c r="K441" i="8"/>
  <c r="J441" i="8"/>
  <c r="I441" i="8"/>
  <c r="H441" i="8"/>
  <c r="G441" i="8"/>
  <c r="K440" i="8"/>
  <c r="J440" i="8"/>
  <c r="I440" i="8"/>
  <c r="H440" i="8"/>
  <c r="G440" i="8"/>
  <c r="K439" i="8"/>
  <c r="J439" i="8"/>
  <c r="I439" i="8"/>
  <c r="H439" i="8"/>
  <c r="G439" i="8"/>
  <c r="K438" i="8"/>
  <c r="J438" i="8"/>
  <c r="I438" i="8"/>
  <c r="H438" i="8"/>
  <c r="G438" i="8"/>
  <c r="K430" i="8"/>
  <c r="J430" i="8"/>
  <c r="I430" i="8"/>
  <c r="H430" i="8"/>
  <c r="J427" i="8"/>
  <c r="K424" i="8"/>
  <c r="J424" i="8"/>
  <c r="J421" i="8"/>
  <c r="I421" i="8"/>
  <c r="J418" i="8"/>
  <c r="H418" i="8"/>
  <c r="J415" i="8"/>
  <c r="H415" i="8"/>
  <c r="J412" i="8"/>
  <c r="H412" i="8"/>
  <c r="K409" i="8"/>
  <c r="J409" i="8"/>
  <c r="I409" i="8"/>
  <c r="H409" i="8"/>
  <c r="J406" i="8"/>
  <c r="I406" i="8"/>
  <c r="H406" i="8"/>
  <c r="K403" i="8"/>
  <c r="J403" i="8"/>
  <c r="I403" i="8"/>
  <c r="H403" i="8"/>
  <c r="K400" i="8"/>
  <c r="J400" i="8"/>
  <c r="I400" i="8"/>
  <c r="H400" i="8"/>
  <c r="J397" i="8"/>
  <c r="I397" i="8"/>
  <c r="H397" i="8"/>
  <c r="K394" i="8"/>
  <c r="J394" i="8"/>
  <c r="I394" i="8"/>
  <c r="H394" i="8"/>
  <c r="K391" i="8"/>
  <c r="J391" i="8"/>
  <c r="I391" i="8"/>
  <c r="H391" i="8"/>
  <c r="K388" i="8"/>
  <c r="J388" i="8"/>
  <c r="I388" i="8"/>
  <c r="H388" i="8"/>
  <c r="K385" i="8"/>
  <c r="J385" i="8"/>
  <c r="I385" i="8"/>
  <c r="H385" i="8"/>
  <c r="J382" i="8"/>
  <c r="I382" i="8"/>
  <c r="H382" i="8"/>
  <c r="K379" i="8"/>
  <c r="J379" i="8"/>
  <c r="I379" i="8"/>
  <c r="H379" i="8"/>
  <c r="K376" i="8"/>
  <c r="J376" i="8"/>
  <c r="I376" i="8"/>
  <c r="H376" i="8"/>
  <c r="J373" i="8"/>
  <c r="I373" i="8"/>
  <c r="H373" i="8"/>
  <c r="J370" i="8"/>
  <c r="I370" i="8"/>
  <c r="H370" i="8"/>
  <c r="K367" i="8"/>
  <c r="J367" i="8"/>
  <c r="I367" i="8"/>
  <c r="H367" i="8"/>
  <c r="J364" i="8"/>
  <c r="I364" i="8"/>
  <c r="H364" i="8"/>
  <c r="K361" i="8"/>
  <c r="J361" i="8"/>
  <c r="I361" i="8"/>
  <c r="H361" i="8"/>
  <c r="K358" i="8"/>
  <c r="J358" i="8"/>
  <c r="I358" i="8"/>
  <c r="H358" i="8"/>
  <c r="K355" i="8"/>
  <c r="J355" i="8"/>
  <c r="I355" i="8"/>
  <c r="H355" i="8"/>
  <c r="I352" i="8"/>
  <c r="H352" i="8"/>
  <c r="K349" i="8"/>
  <c r="J349" i="8"/>
  <c r="I349" i="8"/>
  <c r="G340" i="8"/>
  <c r="G336" i="8" s="1"/>
  <c r="L333" i="8"/>
  <c r="L285" i="8" s="1"/>
  <c r="K333" i="8"/>
  <c r="J333" i="8"/>
  <c r="I333" i="8"/>
  <c r="H333" i="8"/>
  <c r="G332" i="8"/>
  <c r="G284" i="8" s="1"/>
  <c r="G331" i="8"/>
  <c r="G283" i="8" s="1"/>
  <c r="G329" i="8"/>
  <c r="G281" i="8" s="1"/>
  <c r="G326" i="8"/>
  <c r="G278" i="8" s="1"/>
  <c r="G325" i="8"/>
  <c r="G277" i="8" s="1"/>
  <c r="G323" i="8"/>
  <c r="G275" i="8" s="1"/>
  <c r="G322" i="8"/>
  <c r="G274" i="8" s="1"/>
  <c r="G320" i="8"/>
  <c r="G272" i="8" s="1"/>
  <c r="G317" i="8"/>
  <c r="G269" i="8" s="1"/>
  <c r="G316" i="8"/>
  <c r="G268" i="8" s="1"/>
  <c r="G315" i="8"/>
  <c r="G267" i="8" s="1"/>
  <c r="G314" i="8"/>
  <c r="G266" i="8" s="1"/>
  <c r="G313" i="8"/>
  <c r="G265" i="8" s="1"/>
  <c r="G311" i="8"/>
  <c r="G263" i="8" s="1"/>
  <c r="G310" i="8"/>
  <c r="G262" i="8" s="1"/>
  <c r="G309" i="8"/>
  <c r="G261" i="8" s="1"/>
  <c r="G306" i="8"/>
  <c r="G258" i="8" s="1"/>
  <c r="G304" i="8"/>
  <c r="G256" i="8" s="1"/>
  <c r="L294" i="8"/>
  <c r="K294" i="8"/>
  <c r="J294" i="8"/>
  <c r="I294" i="8"/>
  <c r="G293" i="8"/>
  <c r="G294" i="8" s="1"/>
  <c r="K285" i="8"/>
  <c r="J285" i="8"/>
  <c r="I285" i="8"/>
  <c r="H285" i="8"/>
  <c r="G285" i="8"/>
  <c r="K284" i="8"/>
  <c r="J284" i="8"/>
  <c r="I284" i="8"/>
  <c r="H284" i="8"/>
  <c r="K283" i="8"/>
  <c r="J283" i="8"/>
  <c r="I283" i="8"/>
  <c r="H283" i="8"/>
  <c r="K282" i="8"/>
  <c r="J282" i="8"/>
  <c r="K281" i="8"/>
  <c r="J281" i="8"/>
  <c r="I281" i="8"/>
  <c r="H281" i="8"/>
  <c r="K280" i="8"/>
  <c r="J280" i="8"/>
  <c r="I280" i="8"/>
  <c r="H280" i="8"/>
  <c r="G280" i="8"/>
  <c r="K279" i="8"/>
  <c r="J279" i="8"/>
  <c r="I279" i="8"/>
  <c r="H279" i="8"/>
  <c r="G279" i="8"/>
  <c r="K278" i="8"/>
  <c r="J278" i="8"/>
  <c r="I278" i="8"/>
  <c r="H278" i="8"/>
  <c r="K277" i="8"/>
  <c r="J277" i="8"/>
  <c r="I277" i="8"/>
  <c r="H277" i="8"/>
  <c r="K276" i="8"/>
  <c r="J276" i="8"/>
  <c r="I276" i="8"/>
  <c r="H276" i="8"/>
  <c r="G276" i="8"/>
  <c r="K275" i="8"/>
  <c r="J275" i="8"/>
  <c r="I275" i="8"/>
  <c r="H275" i="8"/>
  <c r="K274" i="8"/>
  <c r="J274" i="8"/>
  <c r="I274" i="8"/>
  <c r="H274" i="8"/>
  <c r="K273" i="8"/>
  <c r="J273" i="8"/>
  <c r="I273" i="8"/>
  <c r="H273" i="8"/>
  <c r="G273" i="8"/>
  <c r="K272" i="8"/>
  <c r="J272" i="8"/>
  <c r="I272" i="8"/>
  <c r="H272" i="8"/>
  <c r="K271" i="8"/>
  <c r="J271" i="8"/>
  <c r="I271" i="8"/>
  <c r="H271" i="8"/>
  <c r="G271" i="8"/>
  <c r="K270" i="8"/>
  <c r="J270" i="8"/>
  <c r="I270" i="8"/>
  <c r="H270" i="8"/>
  <c r="G270" i="8"/>
  <c r="K269" i="8"/>
  <c r="J269" i="8"/>
  <c r="I269" i="8"/>
  <c r="H269" i="8"/>
  <c r="K268" i="8"/>
  <c r="J268" i="8"/>
  <c r="I268" i="8"/>
  <c r="H268" i="8"/>
  <c r="K267" i="8"/>
  <c r="J267" i="8"/>
  <c r="I267" i="8"/>
  <c r="H267" i="8"/>
  <c r="K266" i="8"/>
  <c r="J266" i="8"/>
  <c r="I266" i="8"/>
  <c r="H266" i="8"/>
  <c r="I265" i="8"/>
  <c r="H265" i="8"/>
  <c r="K264" i="8"/>
  <c r="J264" i="8"/>
  <c r="K263" i="8"/>
  <c r="J263" i="8"/>
  <c r="I263" i="8"/>
  <c r="H263" i="8"/>
  <c r="K262" i="8"/>
  <c r="J262" i="8"/>
  <c r="I262" i="8"/>
  <c r="H262" i="8"/>
  <c r="K261" i="8"/>
  <c r="J261" i="8"/>
  <c r="I261" i="8"/>
  <c r="H261" i="8"/>
  <c r="K260" i="8"/>
  <c r="J260" i="8"/>
  <c r="I260" i="8"/>
  <c r="H260" i="8"/>
  <c r="G260" i="8"/>
  <c r="K259" i="8"/>
  <c r="J259" i="8"/>
  <c r="I259" i="8"/>
  <c r="H259" i="8"/>
  <c r="G259" i="8"/>
  <c r="K258" i="8"/>
  <c r="J258" i="8"/>
  <c r="I258" i="8"/>
  <c r="H258" i="8"/>
  <c r="K257" i="8"/>
  <c r="J257" i="8"/>
  <c r="I257" i="8"/>
  <c r="H257" i="8"/>
  <c r="G257" i="8"/>
  <c r="K256" i="8"/>
  <c r="J256" i="8"/>
  <c r="I256" i="8"/>
  <c r="H256" i="8"/>
  <c r="K217" i="8"/>
  <c r="J217" i="8"/>
  <c r="H214" i="8"/>
  <c r="H217" i="8" s="1"/>
  <c r="K204" i="8"/>
  <c r="J204" i="8"/>
  <c r="I204" i="8"/>
  <c r="H204" i="8"/>
  <c r="K203" i="8"/>
  <c r="J203" i="8"/>
  <c r="I203" i="8"/>
  <c r="H203" i="8"/>
  <c r="K202" i="8"/>
  <c r="J202" i="8"/>
  <c r="I202" i="8"/>
  <c r="H202" i="8"/>
  <c r="K201" i="8"/>
  <c r="J201" i="8"/>
  <c r="I201" i="8"/>
  <c r="H201" i="8"/>
  <c r="K200" i="8"/>
  <c r="J200" i="8"/>
  <c r="I200" i="8"/>
  <c r="H200" i="8"/>
  <c r="K199" i="8"/>
  <c r="J199" i="8"/>
  <c r="I199" i="8"/>
  <c r="H199" i="8"/>
  <c r="K198" i="8"/>
  <c r="J198" i="8"/>
  <c r="I198" i="8"/>
  <c r="H198" i="8"/>
  <c r="K197" i="8"/>
  <c r="J197" i="8"/>
  <c r="I197" i="8"/>
  <c r="H197" i="8"/>
  <c r="K196" i="8"/>
  <c r="J196" i="8"/>
  <c r="I196" i="8"/>
  <c r="H196" i="8"/>
  <c r="K195" i="8"/>
  <c r="J195" i="8"/>
  <c r="I195" i="8"/>
  <c r="H195" i="8"/>
  <c r="K194" i="8"/>
  <c r="J194" i="8"/>
  <c r="I194" i="8"/>
  <c r="H194" i="8"/>
  <c r="K193" i="8"/>
  <c r="J193" i="8"/>
  <c r="I193" i="8"/>
  <c r="H193" i="8"/>
  <c r="K192" i="8"/>
  <c r="J192" i="8"/>
  <c r="I192" i="8"/>
  <c r="H192" i="8"/>
  <c r="K191" i="8"/>
  <c r="J191" i="8"/>
  <c r="I191" i="8"/>
  <c r="H191" i="8"/>
  <c r="K190" i="8"/>
  <c r="J190" i="8"/>
  <c r="I190" i="8"/>
  <c r="H190" i="8"/>
  <c r="K189" i="8"/>
  <c r="J189" i="8"/>
  <c r="I189" i="8"/>
  <c r="H189" i="8"/>
  <c r="K188" i="8"/>
  <c r="J188" i="8"/>
  <c r="I188" i="8"/>
  <c r="H188" i="8"/>
  <c r="K187" i="8"/>
  <c r="J187" i="8"/>
  <c r="I187" i="8"/>
  <c r="H187" i="8"/>
  <c r="K186" i="8"/>
  <c r="J186" i="8"/>
  <c r="I186" i="8"/>
  <c r="H186" i="8"/>
  <c r="K185" i="8"/>
  <c r="J185" i="8"/>
  <c r="I185" i="8"/>
  <c r="H185" i="8"/>
  <c r="K184" i="8"/>
  <c r="J184" i="8"/>
  <c r="I184" i="8"/>
  <c r="H184" i="8"/>
  <c r="K183" i="8"/>
  <c r="J183" i="8"/>
  <c r="I183" i="8"/>
  <c r="H183" i="8"/>
  <c r="K182" i="8"/>
  <c r="J182" i="8"/>
  <c r="I182" i="8"/>
  <c r="H182" i="8"/>
  <c r="K181" i="8"/>
  <c r="J181" i="8"/>
  <c r="I181" i="8"/>
  <c r="H181" i="8"/>
  <c r="K180" i="8"/>
  <c r="J180" i="8"/>
  <c r="I180" i="8"/>
  <c r="H180" i="8"/>
  <c r="K179" i="8"/>
  <c r="J179" i="8"/>
  <c r="I179" i="8"/>
  <c r="H179" i="8"/>
  <c r="K178" i="8"/>
  <c r="J178" i="8"/>
  <c r="I178" i="8"/>
  <c r="H178" i="8"/>
  <c r="K177" i="8"/>
  <c r="J177" i="8"/>
  <c r="I177" i="8"/>
  <c r="H177" i="8"/>
  <c r="K176" i="8"/>
  <c r="J176" i="8"/>
  <c r="I176" i="8"/>
  <c r="H176" i="8"/>
  <c r="L122" i="8"/>
  <c r="J138" i="8"/>
  <c r="H133" i="8"/>
  <c r="J130" i="8"/>
  <c r="J721" i="8" s="1"/>
  <c r="I130" i="8"/>
  <c r="I721" i="8" s="1"/>
  <c r="J129" i="8"/>
  <c r="I129" i="8"/>
  <c r="J122" i="8"/>
  <c r="I122" i="8"/>
  <c r="H122" i="8"/>
  <c r="J121" i="8"/>
  <c r="I121" i="8"/>
  <c r="H121" i="8"/>
  <c r="J120" i="8"/>
  <c r="I120" i="8"/>
  <c r="H120" i="8"/>
  <c r="J119" i="8"/>
  <c r="H119" i="8"/>
  <c r="J118" i="8"/>
  <c r="I118" i="8"/>
  <c r="H118" i="8"/>
  <c r="J117" i="8"/>
  <c r="I117" i="8"/>
  <c r="J116" i="8"/>
  <c r="I116" i="8"/>
  <c r="H116" i="8"/>
  <c r="J115" i="8"/>
  <c r="I115" i="8"/>
  <c r="H115" i="8"/>
  <c r="J114" i="8"/>
  <c r="I114" i="8"/>
  <c r="H114" i="8"/>
  <c r="J113" i="8"/>
  <c r="J112" i="8"/>
  <c r="I112" i="8"/>
  <c r="H112" i="8"/>
  <c r="J111" i="8"/>
  <c r="I111" i="8"/>
  <c r="H111" i="8"/>
  <c r="J110" i="8"/>
  <c r="I110" i="8"/>
  <c r="J109" i="8"/>
  <c r="I109" i="8"/>
  <c r="J108" i="8"/>
  <c r="I108" i="8"/>
  <c r="H108" i="8"/>
  <c r="J107" i="8"/>
  <c r="I107" i="8"/>
  <c r="J106" i="8"/>
  <c r="I106" i="8"/>
  <c r="H106" i="8"/>
  <c r="J105" i="8"/>
  <c r="I105" i="8"/>
  <c r="H105" i="8"/>
  <c r="J104" i="8"/>
  <c r="I104" i="8"/>
  <c r="H104" i="8"/>
  <c r="J103" i="8"/>
  <c r="I103" i="8"/>
  <c r="H103" i="8"/>
  <c r="J102" i="8"/>
  <c r="H102" i="8"/>
  <c r="J101" i="8"/>
  <c r="I101" i="8"/>
  <c r="H101" i="8"/>
  <c r="J100" i="8"/>
  <c r="I100" i="8"/>
  <c r="H100" i="8"/>
  <c r="J99" i="8"/>
  <c r="I99" i="8"/>
  <c r="H99" i="8"/>
  <c r="J98" i="8"/>
  <c r="I98" i="8"/>
  <c r="J97" i="8"/>
  <c r="I97" i="8"/>
  <c r="J96" i="8"/>
  <c r="I96" i="8"/>
  <c r="H96" i="8"/>
  <c r="J95" i="8"/>
  <c r="I95" i="8"/>
  <c r="J94" i="8"/>
  <c r="I94" i="8"/>
  <c r="H94" i="8"/>
  <c r="G87" i="8"/>
  <c r="J53" i="8"/>
  <c r="J52" i="8"/>
  <c r="J51" i="8"/>
  <c r="J50" i="8"/>
  <c r="J49" i="8"/>
  <c r="J48" i="8"/>
  <c r="J47" i="8"/>
  <c r="J46" i="8"/>
  <c r="J45" i="8"/>
  <c r="J44" i="8"/>
  <c r="J43" i="8"/>
  <c r="J42" i="8"/>
  <c r="H42" i="8"/>
  <c r="H8" i="8" s="1"/>
  <c r="H21" i="8"/>
  <c r="G21" i="8"/>
  <c r="E21" i="8"/>
  <c r="D21" i="8"/>
  <c r="E20" i="8"/>
  <c r="H19" i="8"/>
  <c r="H24" i="8" s="1"/>
  <c r="G19" i="8"/>
  <c r="E19" i="8"/>
  <c r="E721" i="8" s="1"/>
  <c r="D19" i="8"/>
  <c r="D721" i="8" s="1"/>
  <c r="E18" i="8"/>
  <c r="I13" i="8"/>
  <c r="H13" i="8"/>
  <c r="E13" i="8"/>
  <c r="I12" i="8"/>
  <c r="H12" i="8"/>
  <c r="E12" i="8"/>
  <c r="I11" i="8"/>
  <c r="H11" i="8"/>
  <c r="E11" i="8"/>
  <c r="I10" i="8"/>
  <c r="H10" i="8"/>
  <c r="E10" i="8"/>
  <c r="I9" i="8"/>
  <c r="H9" i="8"/>
  <c r="E9" i="8"/>
  <c r="I8" i="8"/>
  <c r="E8" i="8"/>
  <c r="J7" i="8"/>
  <c r="I7" i="8"/>
  <c r="H7" i="8"/>
  <c r="E7" i="8"/>
  <c r="L693" i="8" l="1"/>
  <c r="L661" i="8"/>
  <c r="J12" i="8"/>
  <c r="J133" i="8"/>
  <c r="J10" i="8"/>
  <c r="G721" i="8"/>
  <c r="I133" i="8"/>
  <c r="J8" i="8"/>
  <c r="I521" i="8"/>
  <c r="H721" i="8"/>
  <c r="E24" i="8"/>
  <c r="G528" i="8"/>
  <c r="G521" i="8"/>
  <c r="G24" i="8"/>
  <c r="J11" i="8"/>
  <c r="J9" i="8"/>
  <c r="J13" i="8"/>
  <c r="J431" i="8"/>
  <c r="K431" i="8"/>
  <c r="H431" i="8"/>
  <c r="I431" i="8"/>
  <c r="H521" i="8"/>
  <c r="H528" i="8"/>
  <c r="D24" i="8"/>
  <c r="G333" i="8"/>
  <c r="T197" i="3" l="1"/>
  <c r="T313" i="3" s="1"/>
  <c r="T193" i="3"/>
  <c r="T307" i="3" s="1"/>
  <c r="T170" i="3"/>
  <c r="S141" i="3"/>
  <c r="S142" i="3"/>
  <c r="S143" i="3"/>
  <c r="S144" i="3"/>
  <c r="S145" i="3"/>
  <c r="S146" i="3"/>
  <c r="S147" i="3"/>
  <c r="S148" i="3"/>
  <c r="S150" i="3"/>
  <c r="S151" i="3"/>
  <c r="S152" i="3"/>
  <c r="S153" i="3"/>
  <c r="S154" i="3"/>
  <c r="S155" i="3"/>
  <c r="S156" i="3"/>
  <c r="S157" i="3"/>
  <c r="S158" i="3"/>
  <c r="S159" i="3"/>
  <c r="S160" i="3"/>
  <c r="S161" i="3"/>
  <c r="S162" i="3"/>
  <c r="S163" i="3"/>
  <c r="S164" i="3"/>
  <c r="S165" i="3"/>
  <c r="S166" i="3"/>
  <c r="S167" i="3"/>
  <c r="S168" i="3"/>
  <c r="S169" i="3"/>
  <c r="K149" i="3"/>
  <c r="D132" i="3"/>
  <c r="E132" i="3"/>
  <c r="F132" i="3"/>
  <c r="G132" i="3"/>
  <c r="H132" i="3"/>
  <c r="I132" i="3"/>
  <c r="J132" i="3"/>
  <c r="D13" i="17" l="1"/>
  <c r="D11" i="17"/>
  <c r="D79" i="17" l="1"/>
  <c r="D78" i="17"/>
  <c r="D75" i="17"/>
  <c r="D73" i="17"/>
  <c r="D69" i="17"/>
  <c r="D67" i="17"/>
  <c r="D63" i="17"/>
  <c r="D61" i="17"/>
  <c r="D57" i="17"/>
  <c r="D55" i="17"/>
  <c r="D49" i="17"/>
  <c r="D44" i="17"/>
  <c r="D42" i="17"/>
  <c r="D38" i="17"/>
  <c r="C38" i="17"/>
  <c r="C36" i="17"/>
  <c r="D36" i="17"/>
  <c r="D30" i="17"/>
  <c r="D24" i="17"/>
  <c r="D17" i="17"/>
  <c r="D7" i="17"/>
  <c r="D5" i="17"/>
  <c r="D80" i="17" l="1"/>
  <c r="T57" i="3"/>
  <c r="T312" i="3" s="1"/>
  <c r="T311" i="3" s="1"/>
  <c r="T46" i="3"/>
  <c r="T300" i="3" s="1"/>
  <c r="T73" i="11" s="1"/>
  <c r="S65" i="11"/>
  <c r="S52" i="11"/>
  <c r="S53" i="11"/>
  <c r="S54" i="11"/>
  <c r="S55" i="11"/>
  <c r="S56" i="11"/>
  <c r="S14" i="11"/>
  <c r="S15" i="11"/>
  <c r="S16" i="11"/>
  <c r="S31" i="11"/>
  <c r="S32" i="11"/>
  <c r="S33" i="11"/>
  <c r="S34" i="11"/>
  <c r="S35" i="11"/>
  <c r="S36" i="11"/>
  <c r="S40" i="11"/>
  <c r="S41" i="11"/>
  <c r="S42" i="11"/>
  <c r="S43" i="11"/>
  <c r="S47" i="11"/>
  <c r="S46" i="11"/>
  <c r="S44" i="11"/>
  <c r="Q36" i="11"/>
  <c r="P46" i="11"/>
  <c r="R14" i="11"/>
  <c r="H7" i="13" l="1"/>
  <c r="T47" i="3"/>
  <c r="S8" i="11"/>
  <c r="S7" i="11"/>
  <c r="S57" i="3"/>
  <c r="S312" i="3" s="1"/>
  <c r="R57" i="3"/>
  <c r="R312" i="3" s="1"/>
  <c r="Q57" i="3"/>
  <c r="Q312" i="3" s="1"/>
  <c r="P57" i="3"/>
  <c r="P312" i="3" s="1"/>
  <c r="O57" i="3"/>
  <c r="O312" i="3" s="1"/>
  <c r="N57" i="3"/>
  <c r="N312" i="3" s="1"/>
  <c r="M57" i="3"/>
  <c r="M312" i="3" s="1"/>
  <c r="K57" i="3"/>
  <c r="K312" i="3" s="1"/>
  <c r="I57" i="3"/>
  <c r="I312" i="3" s="1"/>
  <c r="H57" i="3"/>
  <c r="H312" i="3" s="1"/>
  <c r="G57" i="3"/>
  <c r="G312" i="3" s="1"/>
  <c r="F57" i="3"/>
  <c r="F312" i="3" s="1"/>
  <c r="E57" i="3"/>
  <c r="E312" i="3" s="1"/>
  <c r="S9" i="11" l="1"/>
  <c r="T171" i="9"/>
  <c r="C79" i="17" l="1"/>
  <c r="C78" i="17"/>
  <c r="C57" i="17"/>
  <c r="C49" i="17"/>
  <c r="B63" i="17"/>
  <c r="C63" i="17"/>
  <c r="C61" i="17"/>
  <c r="C55" i="17"/>
  <c r="C44" i="17"/>
  <c r="C42" i="17"/>
  <c r="C75" i="17"/>
  <c r="C73" i="17"/>
  <c r="C69" i="17"/>
  <c r="C67" i="17"/>
  <c r="C24" i="17"/>
  <c r="C30" i="17"/>
  <c r="C17" i="17"/>
  <c r="C13" i="17"/>
  <c r="C11" i="17"/>
  <c r="C7" i="17"/>
  <c r="C5" i="17"/>
  <c r="C80" i="17" l="1"/>
  <c r="B79" i="17"/>
  <c r="B78" i="17"/>
  <c r="B80" i="17" s="1"/>
  <c r="B75" i="17"/>
  <c r="B73" i="17"/>
  <c r="B69" i="17"/>
  <c r="B67" i="17"/>
  <c r="B49" i="17"/>
  <c r="B61" i="17"/>
  <c r="B57" i="17"/>
  <c r="B55" i="17"/>
  <c r="B44" i="17"/>
  <c r="B42" i="17"/>
  <c r="B38" i="17"/>
  <c r="B13" i="17"/>
  <c r="B7" i="17"/>
  <c r="B30" i="17"/>
  <c r="B24" i="17"/>
  <c r="B17" i="17"/>
  <c r="B11" i="17"/>
  <c r="B5" i="17"/>
  <c r="R208" i="7" l="1"/>
  <c r="S208" i="7"/>
  <c r="S86" i="7"/>
  <c r="S12" i="7"/>
  <c r="S13" i="7"/>
  <c r="S14" i="7"/>
  <c r="S15" i="7"/>
  <c r="S16" i="7"/>
  <c r="S17" i="7"/>
  <c r="S18" i="7"/>
  <c r="S19" i="7"/>
  <c r="S21" i="7"/>
  <c r="S22" i="7"/>
  <c r="S23" i="7"/>
  <c r="S24" i="7"/>
  <c r="S26" i="7"/>
  <c r="S27" i="7"/>
  <c r="S28" i="7"/>
  <c r="S29" i="7"/>
  <c r="S30" i="7"/>
  <c r="S31" i="7"/>
  <c r="S32" i="7"/>
  <c r="S33" i="7"/>
  <c r="S34" i="7"/>
  <c r="S35" i="7"/>
  <c r="S36" i="7"/>
  <c r="S37" i="7"/>
  <c r="S38" i="7"/>
  <c r="S39" i="7"/>
  <c r="S11" i="7"/>
  <c r="S185" i="7"/>
  <c r="S40" i="7" l="1"/>
  <c r="S170" i="3"/>
  <c r="S193" i="3" l="1"/>
  <c r="R197" i="3"/>
  <c r="R313" i="3" s="1"/>
  <c r="R311" i="3" s="1"/>
  <c r="S197" i="3"/>
  <c r="S313" i="3" s="1"/>
  <c r="S311" i="3" s="1"/>
  <c r="F197" i="3"/>
  <c r="F313" i="3" s="1"/>
  <c r="F311" i="3" s="1"/>
  <c r="G197" i="3"/>
  <c r="G313" i="3" s="1"/>
  <c r="G311" i="3" s="1"/>
  <c r="H197" i="3"/>
  <c r="H313" i="3" s="1"/>
  <c r="H311" i="3" s="1"/>
  <c r="I197" i="3"/>
  <c r="I313" i="3" s="1"/>
  <c r="I311" i="3" s="1"/>
  <c r="E197" i="3"/>
  <c r="E313" i="3" s="1"/>
  <c r="E311" i="3" s="1"/>
  <c r="S171" i="9" l="1"/>
  <c r="S53" i="3" l="1"/>
  <c r="S307" i="3" s="1"/>
  <c r="S45" i="3"/>
  <c r="K57" i="6"/>
  <c r="D49" i="6"/>
  <c r="E49" i="6"/>
  <c r="F49" i="6"/>
  <c r="G49" i="6"/>
  <c r="H49" i="6"/>
  <c r="I49" i="6"/>
  <c r="J49" i="6"/>
  <c r="K49" i="6"/>
  <c r="C49" i="6"/>
  <c r="D48" i="6"/>
  <c r="E48" i="6"/>
  <c r="F48" i="6"/>
  <c r="G48" i="6"/>
  <c r="H48" i="6"/>
  <c r="I48" i="6"/>
  <c r="J48" i="6"/>
  <c r="K48" i="6"/>
  <c r="C48" i="6"/>
  <c r="K36" i="6"/>
  <c r="S47" i="3" l="1"/>
  <c r="S299" i="3"/>
  <c r="B48" i="16"/>
  <c r="B98" i="16" s="1"/>
  <c r="R68" i="11" s="1"/>
  <c r="V68" i="11" s="1"/>
  <c r="S301" i="3" l="1"/>
  <c r="S74" i="11" s="1"/>
  <c r="S72" i="11"/>
  <c r="R40" i="11"/>
  <c r="R65" i="11"/>
  <c r="R52" i="11"/>
  <c r="R48" i="11"/>
  <c r="R47" i="11"/>
  <c r="R46" i="11"/>
  <c r="R44" i="11"/>
  <c r="R43" i="11"/>
  <c r="R42" i="11"/>
  <c r="R41" i="11"/>
  <c r="R36" i="11"/>
  <c r="R35" i="11"/>
  <c r="R34" i="11"/>
  <c r="R33" i="11"/>
  <c r="R32" i="11"/>
  <c r="R31" i="11"/>
  <c r="R24" i="11"/>
  <c r="R16" i="11"/>
  <c r="R15" i="11"/>
  <c r="R8" i="11"/>
  <c r="R7" i="11"/>
  <c r="R9" i="11" l="1"/>
  <c r="L147" i="4"/>
  <c r="R86" i="7"/>
  <c r="R71" i="7"/>
  <c r="R144" i="3" l="1"/>
  <c r="R146" i="3"/>
  <c r="R147" i="3"/>
  <c r="R150" i="3"/>
  <c r="R153" i="3"/>
  <c r="R155" i="3"/>
  <c r="R156" i="3"/>
  <c r="R158" i="3"/>
  <c r="R161" i="3"/>
  <c r="R168" i="3"/>
  <c r="R160" i="3"/>
  <c r="R148" i="3"/>
  <c r="R56" i="11"/>
  <c r="R55" i="11"/>
  <c r="R54" i="11"/>
  <c r="R53" i="11"/>
  <c r="R151" i="3" l="1"/>
  <c r="R167" i="3"/>
  <c r="R159" i="3"/>
  <c r="R165" i="7"/>
  <c r="R33" i="7" s="1"/>
  <c r="R163" i="3"/>
  <c r="R111" i="7"/>
  <c r="R15" i="7" s="1"/>
  <c r="R135" i="7"/>
  <c r="R23" i="7" s="1"/>
  <c r="R153" i="7"/>
  <c r="R29" i="7" s="1"/>
  <c r="R183" i="7"/>
  <c r="R39" i="7" s="1"/>
  <c r="R174" i="7"/>
  <c r="R36" i="7" s="1"/>
  <c r="R162" i="7"/>
  <c r="R32" i="7" s="1"/>
  <c r="R123" i="7"/>
  <c r="R19" i="7" s="1"/>
  <c r="R152" i="3"/>
  <c r="R102" i="7"/>
  <c r="R12" i="7" s="1"/>
  <c r="R142" i="3"/>
  <c r="R114" i="7"/>
  <c r="R16" i="7" s="1"/>
  <c r="R141" i="7"/>
  <c r="R26" i="7" s="1"/>
  <c r="R156" i="7"/>
  <c r="R30" i="7" s="1"/>
  <c r="R171" i="7"/>
  <c r="R35" i="7" s="1"/>
  <c r="R99" i="7"/>
  <c r="R11" i="7" s="1"/>
  <c r="R177" i="7"/>
  <c r="R37" i="7" s="1"/>
  <c r="R147" i="7"/>
  <c r="R25" i="7" s="1"/>
  <c r="R129" i="7"/>
  <c r="R21" i="7" s="1"/>
  <c r="R157" i="3"/>
  <c r="R165" i="3"/>
  <c r="R120" i="7"/>
  <c r="R18" i="7" s="1"/>
  <c r="R105" i="7"/>
  <c r="R13" i="7" s="1"/>
  <c r="R143" i="3"/>
  <c r="R117" i="7"/>
  <c r="R17" i="7" s="1"/>
  <c r="R144" i="7"/>
  <c r="R27" i="7" s="1"/>
  <c r="R159" i="7"/>
  <c r="R31" i="7" s="1"/>
  <c r="R180" i="7"/>
  <c r="R38" i="7" s="1"/>
  <c r="R132" i="7"/>
  <c r="R22" i="7" s="1"/>
  <c r="R145" i="3"/>
  <c r="R154" i="3"/>
  <c r="R162" i="3"/>
  <c r="R166" i="3"/>
  <c r="R169" i="3"/>
  <c r="R108" i="7"/>
  <c r="R14" i="7" s="1"/>
  <c r="R150" i="7"/>
  <c r="R28" i="7" s="1"/>
  <c r="R138" i="7"/>
  <c r="R24" i="7" s="1"/>
  <c r="R168" i="7"/>
  <c r="R34" i="7" s="1"/>
  <c r="R164" i="3"/>
  <c r="R170" i="3" l="1"/>
  <c r="F21" i="13"/>
  <c r="R186" i="7"/>
  <c r="R40" i="7" s="1"/>
  <c r="R193" i="3"/>
  <c r="Q53" i="3" l="1"/>
  <c r="R53" i="3"/>
  <c r="R307" i="3" s="1"/>
  <c r="R171" i="9" l="1"/>
  <c r="E171" i="9" l="1"/>
  <c r="F171" i="9"/>
  <c r="G171" i="9"/>
  <c r="H171" i="9"/>
  <c r="I171" i="9"/>
  <c r="J171" i="9"/>
  <c r="K171" i="9"/>
  <c r="L171" i="9"/>
  <c r="M171" i="9"/>
  <c r="N171" i="9"/>
  <c r="O171" i="9"/>
  <c r="P171" i="9"/>
  <c r="Q171" i="9"/>
  <c r="D171" i="9"/>
  <c r="E208" i="7" l="1"/>
  <c r="F208" i="7"/>
  <c r="G208" i="7"/>
  <c r="H208" i="7"/>
  <c r="I208" i="7"/>
  <c r="O208" i="7"/>
  <c r="D208" i="7"/>
  <c r="D58" i="6"/>
  <c r="E58" i="6"/>
  <c r="F58" i="6"/>
  <c r="G58" i="6"/>
  <c r="H58" i="6"/>
  <c r="C58" i="6"/>
  <c r="D57" i="6"/>
  <c r="E57" i="6"/>
  <c r="F57" i="6"/>
  <c r="G57" i="6"/>
  <c r="H57" i="6"/>
  <c r="I57" i="6"/>
  <c r="C57" i="6"/>
  <c r="D171" i="4"/>
  <c r="E171" i="4"/>
  <c r="F171" i="4"/>
  <c r="G171" i="4"/>
  <c r="H171" i="4"/>
  <c r="I171" i="4"/>
  <c r="J171" i="4"/>
  <c r="K171" i="4"/>
  <c r="M171" i="4"/>
  <c r="C171" i="4"/>
  <c r="P65" i="11" l="1"/>
  <c r="Q65" i="11"/>
  <c r="D26" i="13"/>
  <c r="D21" i="13"/>
  <c r="E21" i="13"/>
  <c r="E26" i="13"/>
  <c r="D16" i="13"/>
  <c r="D15" i="13"/>
  <c r="V65" i="11" l="1"/>
  <c r="N31" i="11"/>
  <c r="O31" i="11"/>
  <c r="P31" i="11"/>
  <c r="Q31" i="11"/>
  <c r="M31" i="11"/>
  <c r="V31" i="11" s="1"/>
  <c r="N33" i="11"/>
  <c r="O33" i="11"/>
  <c r="P33" i="11"/>
  <c r="Q33" i="11"/>
  <c r="M33" i="11"/>
  <c r="N35" i="11"/>
  <c r="O35" i="11"/>
  <c r="P35" i="11"/>
  <c r="Q35" i="11"/>
  <c r="M35" i="11"/>
  <c r="V35" i="11" s="1"/>
  <c r="N36" i="11"/>
  <c r="O36" i="11"/>
  <c r="P36" i="11"/>
  <c r="M36" i="11"/>
  <c r="N34" i="11"/>
  <c r="O34" i="11"/>
  <c r="P34" i="11"/>
  <c r="Q34" i="11"/>
  <c r="M34" i="11"/>
  <c r="V36" i="11" l="1"/>
  <c r="V33" i="11"/>
  <c r="M15" i="11"/>
  <c r="N15" i="11"/>
  <c r="O15" i="11"/>
  <c r="P15" i="11"/>
  <c r="Q15" i="11"/>
  <c r="Q122" i="7"/>
  <c r="Q123" i="7"/>
  <c r="Q177" i="7"/>
  <c r="Q176" i="7"/>
  <c r="Q182" i="7"/>
  <c r="Q179" i="7"/>
  <c r="Q173" i="7"/>
  <c r="Q170" i="7"/>
  <c r="Q167" i="7"/>
  <c r="Q164" i="7"/>
  <c r="Q161" i="7"/>
  <c r="Q158" i="7"/>
  <c r="Q155" i="7"/>
  <c r="Q152" i="7"/>
  <c r="Q146" i="7"/>
  <c r="Q149" i="7"/>
  <c r="Q143" i="7"/>
  <c r="Q140" i="7"/>
  <c r="Q137" i="7"/>
  <c r="Q134" i="7"/>
  <c r="Q131" i="7"/>
  <c r="Q128" i="7"/>
  <c r="Q119" i="7"/>
  <c r="Q116" i="7"/>
  <c r="Q113" i="7"/>
  <c r="Q110" i="7"/>
  <c r="Q107" i="7"/>
  <c r="Q104" i="7"/>
  <c r="Q101" i="7"/>
  <c r="Q98" i="7"/>
  <c r="P126" i="7"/>
  <c r="P182" i="7"/>
  <c r="P179" i="7"/>
  <c r="P173" i="7"/>
  <c r="P170" i="7"/>
  <c r="P167" i="7"/>
  <c r="P164" i="7"/>
  <c r="P161" i="7"/>
  <c r="P158" i="7"/>
  <c r="P155" i="7"/>
  <c r="P152" i="7"/>
  <c r="P149" i="7"/>
  <c r="P143" i="7"/>
  <c r="P140" i="7"/>
  <c r="P146" i="7"/>
  <c r="P137" i="7"/>
  <c r="P134" i="7"/>
  <c r="P131" i="7"/>
  <c r="P128" i="7"/>
  <c r="P125" i="7"/>
  <c r="P119" i="7"/>
  <c r="P116" i="7"/>
  <c r="P113" i="7"/>
  <c r="P110" i="7"/>
  <c r="P107" i="7"/>
  <c r="P104" i="7"/>
  <c r="P101" i="7"/>
  <c r="P98" i="7"/>
  <c r="O185" i="7"/>
  <c r="O182" i="7"/>
  <c r="O179" i="7"/>
  <c r="O173" i="7"/>
  <c r="O170" i="7"/>
  <c r="O167" i="7"/>
  <c r="O164" i="7"/>
  <c r="O161" i="7"/>
  <c r="O158" i="7"/>
  <c r="O155" i="7"/>
  <c r="O152" i="7"/>
  <c r="O149" i="7"/>
  <c r="O143" i="7"/>
  <c r="O140" i="7"/>
  <c r="O146" i="7"/>
  <c r="O137" i="7"/>
  <c r="O134" i="7"/>
  <c r="O131" i="7"/>
  <c r="O128" i="7"/>
  <c r="O126" i="7"/>
  <c r="O125" i="7"/>
  <c r="O119" i="7"/>
  <c r="O116" i="7"/>
  <c r="O113" i="7"/>
  <c r="O107" i="7"/>
  <c r="O104" i="7"/>
  <c r="O101" i="7"/>
  <c r="O98" i="7"/>
  <c r="Q67" i="7"/>
  <c r="P67" i="7"/>
  <c r="N66" i="7"/>
  <c r="N67" i="7"/>
  <c r="N208" i="7" s="1"/>
  <c r="N126" i="7"/>
  <c r="N185" i="7"/>
  <c r="N182" i="7"/>
  <c r="N179" i="7"/>
  <c r="N173" i="7"/>
  <c r="N170" i="7"/>
  <c r="N167" i="7"/>
  <c r="N164" i="7"/>
  <c r="N161" i="7"/>
  <c r="N155" i="7"/>
  <c r="N152" i="7"/>
  <c r="N149" i="7"/>
  <c r="N143" i="7"/>
  <c r="N140" i="7"/>
  <c r="N146" i="7"/>
  <c r="N137" i="7"/>
  <c r="N134" i="7"/>
  <c r="N131" i="7"/>
  <c r="N128" i="7"/>
  <c r="N125" i="7"/>
  <c r="N119" i="7"/>
  <c r="N116" i="7"/>
  <c r="N113" i="7"/>
  <c r="N107" i="7"/>
  <c r="N104" i="7"/>
  <c r="N101" i="7"/>
  <c r="N98" i="7"/>
  <c r="P71" i="7" l="1"/>
  <c r="P208" i="7"/>
  <c r="Q71" i="7"/>
  <c r="Q208" i="7"/>
  <c r="P185" i="7"/>
  <c r="Q37" i="7"/>
  <c r="Q185" i="7"/>
  <c r="O20" i="7"/>
  <c r="P20" i="7"/>
  <c r="Q19" i="7"/>
  <c r="N20" i="7"/>
  <c r="N71" i="7"/>
  <c r="M67" i="7"/>
  <c r="M208" i="7" s="1"/>
  <c r="M66" i="7"/>
  <c r="M185" i="7"/>
  <c r="M182" i="7"/>
  <c r="M179" i="7"/>
  <c r="M173" i="7"/>
  <c r="M170" i="7"/>
  <c r="M167" i="7"/>
  <c r="M164" i="7"/>
  <c r="M161" i="7"/>
  <c r="M155" i="7"/>
  <c r="M152" i="7"/>
  <c r="M149" i="7"/>
  <c r="M143" i="7"/>
  <c r="M140" i="7"/>
  <c r="M146" i="7"/>
  <c r="M137" i="7"/>
  <c r="M134" i="7"/>
  <c r="M131" i="7"/>
  <c r="M128" i="7"/>
  <c r="M126" i="7"/>
  <c r="M125" i="7"/>
  <c r="M119" i="7"/>
  <c r="M116" i="7"/>
  <c r="M113" i="7"/>
  <c r="M107" i="7"/>
  <c r="M104" i="7"/>
  <c r="M101" i="7"/>
  <c r="M98" i="7"/>
  <c r="L56" i="11"/>
  <c r="M56" i="11"/>
  <c r="N56" i="11"/>
  <c r="O56" i="11"/>
  <c r="P56" i="11"/>
  <c r="Q56" i="11"/>
  <c r="K56" i="11"/>
  <c r="N57" i="11"/>
  <c r="O57" i="11"/>
  <c r="M57" i="11"/>
  <c r="V57" i="11" s="1"/>
  <c r="N55" i="11"/>
  <c r="O55" i="11"/>
  <c r="P55" i="11"/>
  <c r="Q55" i="11"/>
  <c r="M55" i="11"/>
  <c r="M52" i="11"/>
  <c r="N52" i="11"/>
  <c r="O52" i="11"/>
  <c r="P52" i="11"/>
  <c r="Q52" i="11"/>
  <c r="L53" i="11"/>
  <c r="M53" i="11"/>
  <c r="N53" i="11"/>
  <c r="O53" i="11"/>
  <c r="P53" i="11"/>
  <c r="Q53" i="11"/>
  <c r="K53" i="11"/>
  <c r="K54" i="11"/>
  <c r="N24" i="11"/>
  <c r="O24" i="11"/>
  <c r="P24" i="11"/>
  <c r="Q24" i="11"/>
  <c r="M24" i="11"/>
  <c r="V52" i="11" l="1"/>
  <c r="V55" i="11"/>
  <c r="V53" i="11"/>
  <c r="V56" i="11"/>
  <c r="M20" i="7"/>
  <c r="G51" i="6"/>
  <c r="F51" i="6"/>
  <c r="E10" i="6"/>
  <c r="F10" i="6"/>
  <c r="G10" i="6"/>
  <c r="H10" i="6"/>
  <c r="I10" i="6"/>
  <c r="E11" i="6"/>
  <c r="F11" i="6"/>
  <c r="G11" i="6"/>
  <c r="H11" i="6"/>
  <c r="I11" i="6"/>
  <c r="E12" i="6"/>
  <c r="F12" i="6"/>
  <c r="G12" i="6"/>
  <c r="H12" i="6"/>
  <c r="I12" i="6"/>
  <c r="E13" i="6"/>
  <c r="F13" i="6"/>
  <c r="G13" i="6"/>
  <c r="H13" i="6"/>
  <c r="I13" i="6"/>
  <c r="E51" i="6"/>
  <c r="F36" i="6"/>
  <c r="G36" i="6"/>
  <c r="H36" i="6"/>
  <c r="I36" i="6"/>
  <c r="E36" i="6"/>
  <c r="N47" i="11" l="1"/>
  <c r="O47" i="11"/>
  <c r="P47" i="11"/>
  <c r="Q47" i="11"/>
  <c r="N43" i="11"/>
  <c r="O43" i="11"/>
  <c r="P43" i="11"/>
  <c r="Q43" i="11"/>
  <c r="M43" i="11"/>
  <c r="N42" i="11"/>
  <c r="O42" i="11"/>
  <c r="P42" i="11"/>
  <c r="Q42" i="11"/>
  <c r="M42" i="11"/>
  <c r="N41" i="11"/>
  <c r="O41" i="11"/>
  <c r="P41" i="11"/>
  <c r="Q41" i="11"/>
  <c r="M41" i="11"/>
  <c r="N40" i="11"/>
  <c r="O40" i="11"/>
  <c r="P40" i="11"/>
  <c r="Q40" i="11"/>
  <c r="M40" i="11"/>
  <c r="M152" i="4"/>
  <c r="L149" i="4"/>
  <c r="L171" i="4" s="1"/>
  <c r="K163" i="4"/>
  <c r="K158" i="4"/>
  <c r="O45" i="11" s="1"/>
  <c r="K165" i="4"/>
  <c r="J165" i="4"/>
  <c r="J158" i="4"/>
  <c r="N45" i="11" s="1"/>
  <c r="I160" i="4"/>
  <c r="M47" i="11" s="1"/>
  <c r="V47" i="11" s="1"/>
  <c r="I158" i="4"/>
  <c r="M45" i="11" s="1"/>
  <c r="V45" i="11" l="1"/>
  <c r="V43" i="11"/>
  <c r="L42" i="7"/>
  <c r="N186" i="7"/>
  <c r="N40" i="7" s="1"/>
  <c r="O186" i="7"/>
  <c r="O40" i="7" s="1"/>
  <c r="P186" i="7"/>
  <c r="P40" i="7" s="1"/>
  <c r="Q186" i="7"/>
  <c r="Q40" i="7" s="1"/>
  <c r="M186" i="7"/>
  <c r="M40" i="7" s="1"/>
  <c r="N162" i="7"/>
  <c r="N32" i="7" s="1"/>
  <c r="O162" i="7"/>
  <c r="O32" i="7" s="1"/>
  <c r="P162" i="7"/>
  <c r="P32" i="7" s="1"/>
  <c r="Q162" i="7"/>
  <c r="Q32" i="7" s="1"/>
  <c r="N165" i="7"/>
  <c r="N33" i="7" s="1"/>
  <c r="O165" i="7"/>
  <c r="O33" i="7" s="1"/>
  <c r="P165" i="7"/>
  <c r="P33" i="7" s="1"/>
  <c r="Q165" i="7"/>
  <c r="Q33" i="7" s="1"/>
  <c r="N168" i="7"/>
  <c r="N34" i="7" s="1"/>
  <c r="O168" i="7"/>
  <c r="O34" i="7" s="1"/>
  <c r="P168" i="7"/>
  <c r="P34" i="7" s="1"/>
  <c r="Q168" i="7"/>
  <c r="Q34" i="7" s="1"/>
  <c r="N171" i="7"/>
  <c r="N35" i="7" s="1"/>
  <c r="O171" i="7"/>
  <c r="O35" i="7" s="1"/>
  <c r="P171" i="7"/>
  <c r="P35" i="7" s="1"/>
  <c r="Q171" i="7"/>
  <c r="Q35" i="7" s="1"/>
  <c r="N174" i="7"/>
  <c r="N36" i="7" s="1"/>
  <c r="O174" i="7"/>
  <c r="O36" i="7" s="1"/>
  <c r="P174" i="7"/>
  <c r="P36" i="7" s="1"/>
  <c r="Q174" i="7"/>
  <c r="Q36" i="7" s="1"/>
  <c r="N180" i="7"/>
  <c r="N38" i="7" s="1"/>
  <c r="O180" i="7"/>
  <c r="O38" i="7" s="1"/>
  <c r="P180" i="7"/>
  <c r="P38" i="7" s="1"/>
  <c r="Q180" i="7"/>
  <c r="Q38" i="7" s="1"/>
  <c r="N183" i="7"/>
  <c r="N39" i="7" s="1"/>
  <c r="O183" i="7"/>
  <c r="O39" i="7" s="1"/>
  <c r="P183" i="7"/>
  <c r="P39" i="7" s="1"/>
  <c r="Q183" i="7"/>
  <c r="Q39" i="7" s="1"/>
  <c r="M183" i="7"/>
  <c r="M39" i="7" s="1"/>
  <c r="M180" i="7"/>
  <c r="M38" i="7" s="1"/>
  <c r="M174" i="7"/>
  <c r="M36" i="7" s="1"/>
  <c r="M171" i="7"/>
  <c r="M35" i="7" s="1"/>
  <c r="M168" i="7"/>
  <c r="M34" i="7" s="1"/>
  <c r="M165" i="7"/>
  <c r="M33" i="7" s="1"/>
  <c r="M162" i="7"/>
  <c r="M32" i="7" s="1"/>
  <c r="N159" i="7"/>
  <c r="N31" i="7" s="1"/>
  <c r="O159" i="7"/>
  <c r="O31" i="7" s="1"/>
  <c r="P159" i="7"/>
  <c r="P31" i="7" s="1"/>
  <c r="Q159" i="7"/>
  <c r="Q31" i="7" s="1"/>
  <c r="N156" i="7"/>
  <c r="N30" i="7" s="1"/>
  <c r="O156" i="7"/>
  <c r="O30" i="7" s="1"/>
  <c r="P156" i="7"/>
  <c r="P30" i="7" s="1"/>
  <c r="Q156" i="7"/>
  <c r="Q30" i="7" s="1"/>
  <c r="N153" i="7"/>
  <c r="N29" i="7" s="1"/>
  <c r="O153" i="7"/>
  <c r="O29" i="7" s="1"/>
  <c r="P153" i="7"/>
  <c r="P29" i="7" s="1"/>
  <c r="Q153" i="7"/>
  <c r="Q29" i="7" s="1"/>
  <c r="N150" i="7"/>
  <c r="N28" i="7" s="1"/>
  <c r="O150" i="7"/>
  <c r="O28" i="7" s="1"/>
  <c r="P150" i="7"/>
  <c r="P28" i="7" s="1"/>
  <c r="Q150" i="7"/>
  <c r="Q28" i="7" s="1"/>
  <c r="N144" i="7"/>
  <c r="N27" i="7" s="1"/>
  <c r="O144" i="7"/>
  <c r="O27" i="7" s="1"/>
  <c r="P144" i="7"/>
  <c r="P27" i="7" s="1"/>
  <c r="Q144" i="7"/>
  <c r="Q27" i="7" s="1"/>
  <c r="N141" i="7"/>
  <c r="N26" i="7" s="1"/>
  <c r="O141" i="7"/>
  <c r="P141" i="7"/>
  <c r="Q141" i="7"/>
  <c r="N147" i="7"/>
  <c r="N25" i="7" s="1"/>
  <c r="O147" i="7"/>
  <c r="O25" i="7" s="1"/>
  <c r="P147" i="7"/>
  <c r="P25" i="7" s="1"/>
  <c r="Q147" i="7"/>
  <c r="Q25" i="7" s="1"/>
  <c r="N138" i="7"/>
  <c r="N24" i="7" s="1"/>
  <c r="O138" i="7"/>
  <c r="P138" i="7"/>
  <c r="Q138" i="7"/>
  <c r="N135" i="7"/>
  <c r="N23" i="7" s="1"/>
  <c r="O135" i="7"/>
  <c r="P135" i="7"/>
  <c r="Q135" i="7"/>
  <c r="M159" i="7"/>
  <c r="M31" i="7" s="1"/>
  <c r="M156" i="7"/>
  <c r="M30" i="7" s="1"/>
  <c r="M153" i="7"/>
  <c r="M29" i="7" s="1"/>
  <c r="M150" i="7"/>
  <c r="M28" i="7" s="1"/>
  <c r="M144" i="7"/>
  <c r="M27" i="7" s="1"/>
  <c r="M141" i="7"/>
  <c r="M26" i="7" s="1"/>
  <c r="M147" i="7"/>
  <c r="M25" i="7" s="1"/>
  <c r="M138" i="7"/>
  <c r="M24" i="7" s="1"/>
  <c r="M135" i="7"/>
  <c r="M23" i="7" s="1"/>
  <c r="N132" i="7"/>
  <c r="N22" i="7" s="1"/>
  <c r="O132" i="7"/>
  <c r="P132" i="7"/>
  <c r="Q132" i="7"/>
  <c r="M132" i="7"/>
  <c r="M22" i="7" s="1"/>
  <c r="N129" i="7"/>
  <c r="N21" i="7" s="1"/>
  <c r="O129" i="7"/>
  <c r="P129" i="7"/>
  <c r="Q129" i="7"/>
  <c r="N120" i="7"/>
  <c r="N18" i="7" s="1"/>
  <c r="O120" i="7"/>
  <c r="P120" i="7"/>
  <c r="Q120" i="7"/>
  <c r="N117" i="7"/>
  <c r="N17" i="7" s="1"/>
  <c r="O117" i="7"/>
  <c r="P117" i="7"/>
  <c r="Q117" i="7"/>
  <c r="M129" i="7"/>
  <c r="M21" i="7" s="1"/>
  <c r="M117" i="7"/>
  <c r="M17" i="7" s="1"/>
  <c r="M120" i="7"/>
  <c r="M18" i="7" s="1"/>
  <c r="N114" i="7"/>
  <c r="N16" i="7" s="1"/>
  <c r="O114" i="7"/>
  <c r="P114" i="7"/>
  <c r="Q114" i="7"/>
  <c r="M114" i="7"/>
  <c r="M16" i="7" s="1"/>
  <c r="N111" i="7"/>
  <c r="N15" i="7" s="1"/>
  <c r="O111" i="7"/>
  <c r="P111" i="7"/>
  <c r="Q111" i="7"/>
  <c r="M111" i="7"/>
  <c r="M15" i="7" s="1"/>
  <c r="O99" i="7"/>
  <c r="O11" i="7" s="1"/>
  <c r="P99" i="7"/>
  <c r="P11" i="7" s="1"/>
  <c r="Q99" i="7"/>
  <c r="Q11" i="7" s="1"/>
  <c r="Q105" i="7"/>
  <c r="N108" i="7"/>
  <c r="N14" i="7" s="1"/>
  <c r="O108" i="7"/>
  <c r="P108" i="7"/>
  <c r="Q108" i="7"/>
  <c r="M108" i="7"/>
  <c r="M14" i="7" s="1"/>
  <c r="M105" i="7"/>
  <c r="M13" i="7" s="1"/>
  <c r="N105" i="7"/>
  <c r="N13" i="7" s="1"/>
  <c r="O105" i="7"/>
  <c r="P105" i="7"/>
  <c r="N102" i="7"/>
  <c r="N12" i="7" s="1"/>
  <c r="O102" i="7"/>
  <c r="P102" i="7"/>
  <c r="Q102" i="7"/>
  <c r="M102" i="7"/>
  <c r="M12" i="7" s="1"/>
  <c r="N99" i="7"/>
  <c r="N11" i="7" s="1"/>
  <c r="M99" i="7"/>
  <c r="M11" i="7" s="1"/>
  <c r="Q12" i="7" l="1"/>
  <c r="P13" i="7"/>
  <c r="O15" i="7"/>
  <c r="P16" i="7"/>
  <c r="O17" i="7"/>
  <c r="O18" i="7"/>
  <c r="O21" i="7"/>
  <c r="P22" i="7"/>
  <c r="Q23" i="7"/>
  <c r="Q24" i="7"/>
  <c r="Q26" i="7"/>
  <c r="P12" i="7"/>
  <c r="O13" i="7"/>
  <c r="Q14" i="7"/>
  <c r="Q13" i="7"/>
  <c r="O16" i="7"/>
  <c r="O22" i="7"/>
  <c r="P23" i="7"/>
  <c r="P24" i="7"/>
  <c r="P26" i="7"/>
  <c r="O12" i="7"/>
  <c r="P14" i="7"/>
  <c r="Q15" i="7"/>
  <c r="Q17" i="7"/>
  <c r="Q18" i="7"/>
  <c r="Q21" i="7"/>
  <c r="O23" i="7"/>
  <c r="O24" i="7"/>
  <c r="O26" i="7"/>
  <c r="O14" i="7"/>
  <c r="P15" i="7"/>
  <c r="Q16" i="7"/>
  <c r="P17" i="7"/>
  <c r="P18" i="7"/>
  <c r="P21" i="7"/>
  <c r="Q22" i="7"/>
  <c r="N196" i="3"/>
  <c r="N310" i="3" s="1"/>
  <c r="N195" i="3"/>
  <c r="N309" i="3" s="1"/>
  <c r="O196" i="3"/>
  <c r="O310" i="3" s="1"/>
  <c r="O195" i="3"/>
  <c r="O309" i="3" s="1"/>
  <c r="P196" i="3"/>
  <c r="P310" i="3" s="1"/>
  <c r="P195" i="3"/>
  <c r="P309" i="3" s="1"/>
  <c r="Q196" i="3"/>
  <c r="Q310" i="3" s="1"/>
  <c r="Q195" i="3"/>
  <c r="Q309" i="3" s="1"/>
  <c r="Q197" i="3" l="1"/>
  <c r="Q313" i="3" s="1"/>
  <c r="Q311" i="3" s="1"/>
  <c r="O197" i="3"/>
  <c r="O313" i="3" s="1"/>
  <c r="O311" i="3" s="1"/>
  <c r="P197" i="3"/>
  <c r="P313" i="3" s="1"/>
  <c r="P311" i="3" s="1"/>
  <c r="N197" i="3"/>
  <c r="N313" i="3" s="1"/>
  <c r="N311" i="3" s="1"/>
  <c r="M195" i="3"/>
  <c r="M309" i="3" s="1"/>
  <c r="M196" i="3"/>
  <c r="N170" i="3"/>
  <c r="K195" i="3"/>
  <c r="K309" i="3" s="1"/>
  <c r="M193" i="3"/>
  <c r="N193" i="3"/>
  <c r="O193" i="3"/>
  <c r="P193" i="3"/>
  <c r="Q193" i="3"/>
  <c r="Q307" i="3" s="1"/>
  <c r="M187" i="3"/>
  <c r="L187" i="3"/>
  <c r="N141" i="3"/>
  <c r="O141" i="3"/>
  <c r="P141" i="3"/>
  <c r="Q141" i="3"/>
  <c r="N142" i="3"/>
  <c r="O142" i="3"/>
  <c r="P142" i="3"/>
  <c r="Q142" i="3"/>
  <c r="N143" i="3"/>
  <c r="O143" i="3"/>
  <c r="P143" i="3"/>
  <c r="Q143" i="3"/>
  <c r="N144" i="3"/>
  <c r="O144" i="3"/>
  <c r="P144" i="3"/>
  <c r="Q144" i="3"/>
  <c r="N145" i="3"/>
  <c r="O145" i="3"/>
  <c r="P145" i="3"/>
  <c r="Q145" i="3"/>
  <c r="N146" i="3"/>
  <c r="O146" i="3"/>
  <c r="P146" i="3"/>
  <c r="Q146" i="3"/>
  <c r="N147" i="3"/>
  <c r="O147" i="3"/>
  <c r="P147" i="3"/>
  <c r="Q147" i="3"/>
  <c r="N148" i="3"/>
  <c r="O148" i="3"/>
  <c r="P148" i="3"/>
  <c r="Q148" i="3"/>
  <c r="N150" i="3"/>
  <c r="O150" i="3"/>
  <c r="P150" i="3"/>
  <c r="Q150" i="3"/>
  <c r="N151" i="3"/>
  <c r="O151" i="3"/>
  <c r="P151" i="3"/>
  <c r="Q151" i="3"/>
  <c r="N152" i="3"/>
  <c r="O152" i="3"/>
  <c r="P152" i="3"/>
  <c r="Q152" i="3"/>
  <c r="N153" i="3"/>
  <c r="O153" i="3"/>
  <c r="P153" i="3"/>
  <c r="Q153" i="3"/>
  <c r="N154" i="3"/>
  <c r="O154" i="3"/>
  <c r="P154" i="3"/>
  <c r="Q154" i="3"/>
  <c r="N155" i="3"/>
  <c r="O155" i="3"/>
  <c r="P155" i="3"/>
  <c r="Q155" i="3"/>
  <c r="N156" i="3"/>
  <c r="O156" i="3"/>
  <c r="P156" i="3"/>
  <c r="Q156" i="3"/>
  <c r="N157" i="3"/>
  <c r="O157" i="3"/>
  <c r="P157" i="3"/>
  <c r="Q157" i="3"/>
  <c r="N158" i="3"/>
  <c r="O158" i="3"/>
  <c r="P158" i="3"/>
  <c r="Q158" i="3"/>
  <c r="N159" i="3"/>
  <c r="O159" i="3"/>
  <c r="P159" i="3"/>
  <c r="Q159" i="3"/>
  <c r="N160" i="3"/>
  <c r="O160" i="3"/>
  <c r="P160" i="3"/>
  <c r="Q160" i="3"/>
  <c r="N161" i="3"/>
  <c r="O161" i="3"/>
  <c r="P161" i="3"/>
  <c r="Q161" i="3"/>
  <c r="N162" i="3"/>
  <c r="O162" i="3"/>
  <c r="P162" i="3"/>
  <c r="Q162" i="3"/>
  <c r="N163" i="3"/>
  <c r="O163" i="3"/>
  <c r="P163" i="3"/>
  <c r="Q163" i="3"/>
  <c r="N164" i="3"/>
  <c r="O164" i="3"/>
  <c r="P164" i="3"/>
  <c r="Q164" i="3"/>
  <c r="N165" i="3"/>
  <c r="O165" i="3"/>
  <c r="P165" i="3"/>
  <c r="Q165" i="3"/>
  <c r="N166" i="3"/>
  <c r="O166" i="3"/>
  <c r="P166" i="3"/>
  <c r="Q166" i="3"/>
  <c r="N167" i="3"/>
  <c r="O167" i="3"/>
  <c r="P167" i="3"/>
  <c r="Q167" i="3"/>
  <c r="N168" i="3"/>
  <c r="O168" i="3"/>
  <c r="P168" i="3"/>
  <c r="Q168" i="3"/>
  <c r="N169" i="3"/>
  <c r="O169" i="3"/>
  <c r="P169" i="3"/>
  <c r="Q169" i="3"/>
  <c r="O170" i="3"/>
  <c r="P170" i="3"/>
  <c r="Q170" i="3"/>
  <c r="M141" i="3"/>
  <c r="M142" i="3"/>
  <c r="M143" i="3"/>
  <c r="M144" i="3"/>
  <c r="M145" i="3"/>
  <c r="M146" i="3"/>
  <c r="M147" i="3"/>
  <c r="M148" i="3"/>
  <c r="M150" i="3"/>
  <c r="M151" i="3"/>
  <c r="M152" i="3"/>
  <c r="M153" i="3"/>
  <c r="M154" i="3"/>
  <c r="M155" i="3"/>
  <c r="M156" i="3"/>
  <c r="M157" i="3"/>
  <c r="M158" i="3"/>
  <c r="M159" i="3"/>
  <c r="M160" i="3"/>
  <c r="M161" i="3"/>
  <c r="M162" i="3"/>
  <c r="M163" i="3"/>
  <c r="M164" i="3"/>
  <c r="M165" i="3"/>
  <c r="M166" i="3"/>
  <c r="M167" i="3"/>
  <c r="M168" i="3"/>
  <c r="M169" i="3"/>
  <c r="M170" i="3" l="1"/>
  <c r="M310" i="3"/>
  <c r="O307" i="3"/>
  <c r="N307" i="3"/>
  <c r="M197" i="3"/>
  <c r="M313" i="3" s="1"/>
  <c r="M311" i="3" s="1"/>
  <c r="Q46" i="3"/>
  <c r="Q300" i="3" s="1"/>
  <c r="Q73" i="11" s="1"/>
  <c r="Q45" i="3"/>
  <c r="Q299" i="3" s="1"/>
  <c r="P46" i="3"/>
  <c r="P300" i="3" s="1"/>
  <c r="P73" i="11" s="1"/>
  <c r="O46" i="3"/>
  <c r="O300" i="3" s="1"/>
  <c r="O73" i="11" s="1"/>
  <c r="P45" i="3"/>
  <c r="P299" i="3" s="1"/>
  <c r="O45" i="3"/>
  <c r="O299" i="3" s="1"/>
  <c r="N46" i="3"/>
  <c r="N300" i="3" s="1"/>
  <c r="N73" i="11" s="1"/>
  <c r="N45" i="3"/>
  <c r="N299" i="3" s="1"/>
  <c r="M46" i="3"/>
  <c r="M300" i="3" s="1"/>
  <c r="M73" i="11" s="1"/>
  <c r="M45" i="3"/>
  <c r="M299" i="3" s="1"/>
  <c r="M53" i="3"/>
  <c r="M307" i="3" s="1"/>
  <c r="N53" i="3"/>
  <c r="O53" i="3"/>
  <c r="P53" i="3"/>
  <c r="P307" i="3" s="1"/>
  <c r="M54" i="11"/>
  <c r="N54" i="11"/>
  <c r="O54" i="11"/>
  <c r="P54" i="11"/>
  <c r="Q54" i="11"/>
  <c r="M48" i="11"/>
  <c r="N48" i="11"/>
  <c r="O48" i="11"/>
  <c r="P48" i="11"/>
  <c r="Q48" i="11"/>
  <c r="M46" i="11"/>
  <c r="N46" i="11"/>
  <c r="O46" i="11"/>
  <c r="Q46" i="11"/>
  <c r="M44" i="11"/>
  <c r="N44" i="11"/>
  <c r="O44" i="11"/>
  <c r="P44" i="11"/>
  <c r="Q44" i="11"/>
  <c r="M32" i="11"/>
  <c r="N32" i="11"/>
  <c r="O32" i="11"/>
  <c r="P32" i="11"/>
  <c r="Q32" i="11"/>
  <c r="M16" i="11"/>
  <c r="N16" i="11"/>
  <c r="O16" i="11"/>
  <c r="P16" i="11"/>
  <c r="Q16" i="11"/>
  <c r="M14" i="11"/>
  <c r="N14" i="11"/>
  <c r="O14" i="11"/>
  <c r="P14" i="11"/>
  <c r="Q14" i="11"/>
  <c r="M7" i="11"/>
  <c r="N7" i="11"/>
  <c r="O7" i="11"/>
  <c r="P7" i="11"/>
  <c r="Q7" i="11"/>
  <c r="M8" i="11"/>
  <c r="N8" i="11"/>
  <c r="O8" i="11"/>
  <c r="P8" i="11"/>
  <c r="Q8" i="11"/>
  <c r="Q301" i="3" l="1"/>
  <c r="Q74" i="11" s="1"/>
  <c r="Q72" i="11"/>
  <c r="M72" i="11"/>
  <c r="M301" i="3"/>
  <c r="M74" i="11" s="1"/>
  <c r="P301" i="3"/>
  <c r="P74" i="11" s="1"/>
  <c r="P72" i="11"/>
  <c r="N301" i="3"/>
  <c r="N74" i="11" s="1"/>
  <c r="N72" i="11"/>
  <c r="O301" i="3"/>
  <c r="O74" i="11" s="1"/>
  <c r="O72" i="11"/>
  <c r="P47" i="3"/>
  <c r="M47" i="3"/>
  <c r="O47" i="3"/>
  <c r="Q47" i="3"/>
  <c r="O9" i="11"/>
  <c r="P9" i="11"/>
  <c r="Q9" i="11"/>
  <c r="M9" i="11"/>
  <c r="N9" i="11"/>
  <c r="N47" i="3"/>
  <c r="L54" i="11"/>
  <c r="K44" i="11"/>
  <c r="L44" i="11"/>
  <c r="J44" i="11"/>
  <c r="V44" i="11" s="1"/>
  <c r="K46" i="11"/>
  <c r="L46" i="11"/>
  <c r="J46" i="11"/>
  <c r="K48" i="11"/>
  <c r="L48" i="11"/>
  <c r="S48" i="11"/>
  <c r="J48" i="11"/>
  <c r="D7" i="11"/>
  <c r="H34" i="11"/>
  <c r="I34" i="11"/>
  <c r="J34" i="11"/>
  <c r="K34" i="11"/>
  <c r="L34" i="11"/>
  <c r="G34" i="11"/>
  <c r="H32" i="11"/>
  <c r="I32" i="11"/>
  <c r="J32" i="11"/>
  <c r="K32" i="11"/>
  <c r="L32" i="11"/>
  <c r="G32" i="11"/>
  <c r="H16" i="11"/>
  <c r="I16" i="11"/>
  <c r="J16" i="11"/>
  <c r="K16" i="11"/>
  <c r="L16" i="11"/>
  <c r="G16" i="11"/>
  <c r="L14" i="11"/>
  <c r="K14" i="11"/>
  <c r="J14" i="11"/>
  <c r="I14" i="11"/>
  <c r="H14" i="11"/>
  <c r="G14" i="11"/>
  <c r="V14" i="11" s="1"/>
  <c r="E8" i="11"/>
  <c r="F8" i="11"/>
  <c r="G8" i="11"/>
  <c r="H8" i="11"/>
  <c r="I8" i="11"/>
  <c r="L8" i="11"/>
  <c r="E7" i="11"/>
  <c r="F7" i="11"/>
  <c r="G7" i="11"/>
  <c r="H7" i="11"/>
  <c r="I7" i="11"/>
  <c r="L7" i="11"/>
  <c r="K15" i="11"/>
  <c r="V15" i="11" s="1"/>
  <c r="J19" i="11"/>
  <c r="I19" i="11"/>
  <c r="H19" i="11"/>
  <c r="G19" i="11"/>
  <c r="F19" i="11"/>
  <c r="E19" i="11"/>
  <c r="D19" i="11"/>
  <c r="L185" i="7"/>
  <c r="K185" i="7"/>
  <c r="I46" i="3"/>
  <c r="I300" i="3" s="1"/>
  <c r="I73" i="11" s="1"/>
  <c r="I45" i="3"/>
  <c r="I299" i="3" s="1"/>
  <c r="J46" i="3"/>
  <c r="J300" i="3" s="1"/>
  <c r="J73" i="11" s="1"/>
  <c r="J45" i="3"/>
  <c r="J299" i="3" s="1"/>
  <c r="K45" i="3"/>
  <c r="K299" i="3" s="1"/>
  <c r="K46" i="3"/>
  <c r="K300" i="3" s="1"/>
  <c r="K73" i="11" s="1"/>
  <c r="L46" i="3"/>
  <c r="L300" i="3" s="1"/>
  <c r="L73" i="11" s="1"/>
  <c r="L45" i="3"/>
  <c r="L299" i="3" s="1"/>
  <c r="K169" i="3"/>
  <c r="K168" i="3"/>
  <c r="K166" i="3"/>
  <c r="K165" i="3"/>
  <c r="K164" i="3"/>
  <c r="K163" i="3"/>
  <c r="K162" i="3"/>
  <c r="K161" i="3"/>
  <c r="K160" i="3"/>
  <c r="K159" i="3"/>
  <c r="K158" i="3"/>
  <c r="K157" i="3"/>
  <c r="K156" i="3"/>
  <c r="K155" i="3"/>
  <c r="K154" i="3"/>
  <c r="K153" i="3"/>
  <c r="K152" i="3"/>
  <c r="K151" i="3"/>
  <c r="K148" i="3"/>
  <c r="K147" i="3"/>
  <c r="K146" i="3"/>
  <c r="K145" i="3"/>
  <c r="K144" i="3"/>
  <c r="K143" i="3"/>
  <c r="K142" i="3"/>
  <c r="K141" i="3"/>
  <c r="K187" i="3"/>
  <c r="J49" i="3"/>
  <c r="J48" i="3"/>
  <c r="H51" i="9"/>
  <c r="I51" i="9" s="1"/>
  <c r="J51" i="9" s="1"/>
  <c r="K51" i="9" s="1"/>
  <c r="L51" i="9" s="1"/>
  <c r="M51" i="9" s="1"/>
  <c r="N51" i="9" s="1"/>
  <c r="O51" i="9" s="1"/>
  <c r="P51" i="9" s="1"/>
  <c r="Q51" i="9" s="1"/>
  <c r="L182" i="7"/>
  <c r="L39" i="7" s="1"/>
  <c r="K182" i="7"/>
  <c r="K39" i="7" s="1"/>
  <c r="L179" i="7"/>
  <c r="L38" i="7" s="1"/>
  <c r="K179" i="7"/>
  <c r="K38" i="7" s="1"/>
  <c r="L173" i="7"/>
  <c r="L36" i="7" s="1"/>
  <c r="K173" i="7"/>
  <c r="K36" i="7" s="1"/>
  <c r="L170" i="7"/>
  <c r="L35" i="7" s="1"/>
  <c r="K170" i="7"/>
  <c r="K35" i="7" s="1"/>
  <c r="L167" i="7"/>
  <c r="L34" i="7" s="1"/>
  <c r="K167" i="7"/>
  <c r="K34" i="7" s="1"/>
  <c r="L164" i="7"/>
  <c r="L33" i="7" s="1"/>
  <c r="K164" i="7"/>
  <c r="K33" i="7" s="1"/>
  <c r="L161" i="7"/>
  <c r="L32" i="7" s="1"/>
  <c r="K161" i="7"/>
  <c r="K32" i="7" s="1"/>
  <c r="L158" i="7"/>
  <c r="L31" i="7" s="1"/>
  <c r="K158" i="7"/>
  <c r="K31" i="7" s="1"/>
  <c r="L155" i="7"/>
  <c r="L30" i="7" s="1"/>
  <c r="K155" i="7"/>
  <c r="K30" i="7" s="1"/>
  <c r="L152" i="7"/>
  <c r="L29" i="7" s="1"/>
  <c r="K152" i="7"/>
  <c r="K29" i="7" s="1"/>
  <c r="L149" i="7"/>
  <c r="L28" i="7" s="1"/>
  <c r="K149" i="7"/>
  <c r="K28" i="7" s="1"/>
  <c r="L143" i="7"/>
  <c r="L27" i="7" s="1"/>
  <c r="K143" i="7"/>
  <c r="K27" i="7" s="1"/>
  <c r="L140" i="7"/>
  <c r="L26" i="7" s="1"/>
  <c r="K140" i="7"/>
  <c r="K26" i="7" s="1"/>
  <c r="L146" i="7"/>
  <c r="L25" i="7" s="1"/>
  <c r="K146" i="7"/>
  <c r="K25" i="7" s="1"/>
  <c r="L137" i="7"/>
  <c r="L24" i="7" s="1"/>
  <c r="K137" i="7"/>
  <c r="K24" i="7" s="1"/>
  <c r="L134" i="7"/>
  <c r="L23" i="7" s="1"/>
  <c r="K134" i="7"/>
  <c r="K23" i="7" s="1"/>
  <c r="L131" i="7"/>
  <c r="L22" i="7" s="1"/>
  <c r="K131" i="7"/>
  <c r="K22" i="7" s="1"/>
  <c r="L128" i="7"/>
  <c r="L21" i="7" s="1"/>
  <c r="K128" i="7"/>
  <c r="K21" i="7" s="1"/>
  <c r="L126" i="7"/>
  <c r="L125" i="7"/>
  <c r="K125" i="7"/>
  <c r="K20" i="7" s="1"/>
  <c r="L119" i="7"/>
  <c r="L18" i="7" s="1"/>
  <c r="K119" i="7"/>
  <c r="K18" i="7" s="1"/>
  <c r="L116" i="7"/>
  <c r="L17" i="7" s="1"/>
  <c r="K116" i="7"/>
  <c r="K17" i="7" s="1"/>
  <c r="L113" i="7"/>
  <c r="L16" i="7" s="1"/>
  <c r="K113" i="7"/>
  <c r="K16" i="7" s="1"/>
  <c r="L110" i="7"/>
  <c r="L15" i="7" s="1"/>
  <c r="K110" i="7"/>
  <c r="K15" i="7" s="1"/>
  <c r="L107" i="7"/>
  <c r="L14" i="7" s="1"/>
  <c r="K107" i="7"/>
  <c r="K14" i="7" s="1"/>
  <c r="L104" i="7"/>
  <c r="L13" i="7" s="1"/>
  <c r="K104" i="7"/>
  <c r="K13" i="7" s="1"/>
  <c r="L101" i="7"/>
  <c r="L12" i="7" s="1"/>
  <c r="K101" i="7"/>
  <c r="K12" i="7" s="1"/>
  <c r="L98" i="7"/>
  <c r="L11" i="7" s="1"/>
  <c r="K98" i="7"/>
  <c r="K11" i="7" s="1"/>
  <c r="L67" i="7"/>
  <c r="L208" i="7" s="1"/>
  <c r="L66" i="7"/>
  <c r="L48" i="7"/>
  <c r="K66" i="7"/>
  <c r="K67" i="7"/>
  <c r="K208" i="7" s="1"/>
  <c r="K42" i="7"/>
  <c r="F42" i="7"/>
  <c r="G42" i="7"/>
  <c r="H42" i="7"/>
  <c r="I42" i="7"/>
  <c r="J42" i="7"/>
  <c r="E42" i="7"/>
  <c r="J67" i="7"/>
  <c r="J208" i="7" s="1"/>
  <c r="J66" i="7"/>
  <c r="D71" i="7"/>
  <c r="D36" i="6"/>
  <c r="D10" i="6"/>
  <c r="D11" i="6"/>
  <c r="D12" i="6"/>
  <c r="D13" i="6"/>
  <c r="C13" i="6"/>
  <c r="C12" i="6"/>
  <c r="C11" i="6"/>
  <c r="C10" i="6"/>
  <c r="C31" i="6"/>
  <c r="C36" i="6" s="1"/>
  <c r="K193" i="3"/>
  <c r="I193" i="3"/>
  <c r="H193" i="3"/>
  <c r="G193" i="3"/>
  <c r="F193" i="3"/>
  <c r="E193" i="3"/>
  <c r="D193" i="3"/>
  <c r="J192" i="3"/>
  <c r="J306" i="3" s="1"/>
  <c r="J191" i="3"/>
  <c r="J305" i="3" s="1"/>
  <c r="L53" i="3"/>
  <c r="L307" i="3" s="1"/>
  <c r="K53" i="3"/>
  <c r="J53" i="3"/>
  <c r="I53" i="3"/>
  <c r="H53" i="3"/>
  <c r="G53" i="3"/>
  <c r="F53" i="3"/>
  <c r="E53" i="3"/>
  <c r="D53" i="3"/>
  <c r="H152" i="4"/>
  <c r="G152" i="4"/>
  <c r="F152" i="4"/>
  <c r="E152" i="4"/>
  <c r="D152" i="4"/>
  <c r="C152" i="4"/>
  <c r="K196" i="3"/>
  <c r="K310" i="3" s="1"/>
  <c r="J196" i="3"/>
  <c r="J310" i="3" s="1"/>
  <c r="K8" i="11"/>
  <c r="J195" i="3"/>
  <c r="I301" i="3" l="1"/>
  <c r="I74" i="11" s="1"/>
  <c r="I72" i="11"/>
  <c r="V48" i="11"/>
  <c r="L72" i="11"/>
  <c r="L301" i="3"/>
  <c r="L74" i="11" s="1"/>
  <c r="K301" i="3"/>
  <c r="K74" i="11" s="1"/>
  <c r="K72" i="11"/>
  <c r="J301" i="3"/>
  <c r="J74" i="11" s="1"/>
  <c r="J72" i="11"/>
  <c r="E307" i="3"/>
  <c r="F307" i="3"/>
  <c r="V16" i="11"/>
  <c r="V34" i="11"/>
  <c r="V32" i="11"/>
  <c r="V46" i="11"/>
  <c r="G307" i="3"/>
  <c r="H307" i="3"/>
  <c r="I307" i="3"/>
  <c r="J8" i="11"/>
  <c r="V8" i="11" s="1"/>
  <c r="J309" i="3"/>
  <c r="K307" i="3"/>
  <c r="D307" i="3"/>
  <c r="J170" i="3"/>
  <c r="J197" i="3"/>
  <c r="J313" i="3" s="1"/>
  <c r="J311" i="3" s="1"/>
  <c r="K170" i="3"/>
  <c r="K197" i="3"/>
  <c r="K313" i="3" s="1"/>
  <c r="K311" i="3" s="1"/>
  <c r="V54" i="11"/>
  <c r="R51" i="9"/>
  <c r="S51" i="9" s="1"/>
  <c r="T51" i="9" s="1"/>
  <c r="U51" i="9" s="1"/>
  <c r="K40" i="7"/>
  <c r="L40" i="7"/>
  <c r="I9" i="11"/>
  <c r="E9" i="11"/>
  <c r="L9" i="11"/>
  <c r="H9" i="11"/>
  <c r="G9" i="11"/>
  <c r="J7" i="11"/>
  <c r="K7" i="11"/>
  <c r="K9" i="11" s="1"/>
  <c r="F9" i="11"/>
  <c r="J47" i="3"/>
  <c r="K47" i="3"/>
  <c r="L47" i="3"/>
  <c r="I47" i="3"/>
  <c r="J140" i="3"/>
  <c r="J193" i="3"/>
  <c r="J307" i="3" s="1"/>
  <c r="L20" i="7"/>
  <c r="L71" i="7"/>
  <c r="K71" i="7"/>
  <c r="J71" i="7"/>
  <c r="J9" i="11" l="1"/>
  <c r="V9" i="11"/>
  <c r="V7" i="11"/>
</calcChain>
</file>

<file path=xl/sharedStrings.xml><?xml version="1.0" encoding="utf-8"?>
<sst xmlns="http://schemas.openxmlformats.org/spreadsheetml/2006/main" count="3332" uniqueCount="866">
  <si>
    <t>Liquor Distribution Branch</t>
  </si>
  <si>
    <t>Encorp Pacific (Canada)</t>
  </si>
  <si>
    <t>Deposits Charged</t>
  </si>
  <si>
    <t>Deposits Refunded</t>
  </si>
  <si>
    <t>Units Sold</t>
  </si>
  <si>
    <t>Units Recovered</t>
  </si>
  <si>
    <t>Unclaimed Deposits</t>
  </si>
  <si>
    <t>Balance</t>
  </si>
  <si>
    <t>Units Moved</t>
  </si>
  <si>
    <t>Financial</t>
  </si>
  <si>
    <t>Priority Measures</t>
  </si>
  <si>
    <t>Pollution Prevention-Reduce at Source</t>
  </si>
  <si>
    <t>Pollution Prevention-Reuse</t>
  </si>
  <si>
    <t>Pollution Prevention-Recycle</t>
  </si>
  <si>
    <t>Pollution Prevention-Recover Materials/Energy</t>
  </si>
  <si>
    <t>Pollution Prevention-Manage Residuals</t>
  </si>
  <si>
    <t>Collection Sites-Total Number</t>
  </si>
  <si>
    <t>Recovery Rate-Overall</t>
  </si>
  <si>
    <t>Absolute Collection-Per Person Vancouver Island Region</t>
  </si>
  <si>
    <t>Absolute Collection-Per Person Lower Mainland Region</t>
  </si>
  <si>
    <t>Absolute Collection-Per Person Thompson Region</t>
  </si>
  <si>
    <t>Absolute Collection-Per Person Kootenay Region</t>
  </si>
  <si>
    <t>Absolute Collection-Per Person Cariboo Region</t>
  </si>
  <si>
    <t>Absolute Collection-Per Person Skeena Region</t>
  </si>
  <si>
    <t>Absolute Collection-Per Person Omineca Region</t>
  </si>
  <si>
    <t>Absolute Collection-Person Person Okanagan Region</t>
  </si>
  <si>
    <t>Absolute Collection-Per Person Peace Region</t>
  </si>
  <si>
    <t>Other</t>
  </si>
  <si>
    <t>Green House Gas Avoidance</t>
  </si>
  <si>
    <t>Revenue-Total</t>
  </si>
  <si>
    <t>Expenditure-Total</t>
  </si>
  <si>
    <t>Weight of Material Recycled (tonnes)</t>
  </si>
  <si>
    <t>Weight of Material Recycled (Tonnes)</t>
  </si>
  <si>
    <t>British Columbia Used Oil Management Association</t>
  </si>
  <si>
    <t>Recovery Rate-Used Oil</t>
  </si>
  <si>
    <t>Recovery Rate-Used Oil Filters</t>
  </si>
  <si>
    <t>Used Oil-Litres Collected</t>
  </si>
  <si>
    <t>Used Oil Filters-Number Collected</t>
  </si>
  <si>
    <t>Collection Sites-Generator Participants</t>
  </si>
  <si>
    <t>Collection Sites-Local Return Collection Facilities</t>
  </si>
  <si>
    <t>Collection Sites-Wholesaler and Retailer Participants</t>
  </si>
  <si>
    <t>Collection Sites-Collector Participants</t>
  </si>
  <si>
    <t>Collection Sites-Processor Participants</t>
  </si>
  <si>
    <t>Recovery Rate-Passenger &amp; Light Truck</t>
  </si>
  <si>
    <t>Recovery Rate-Medium Truck</t>
  </si>
  <si>
    <t>Recovery Rate-Agriculture Drive</t>
  </si>
  <si>
    <t>Recovery Rate-Logger/Skidder</t>
  </si>
  <si>
    <t>Advance Disposal Fee-Total Charged</t>
  </si>
  <si>
    <t>Passenger &amp; Light Truck Tires Sold</t>
  </si>
  <si>
    <t>Passenger &amp; Light Truck Tires Collected</t>
  </si>
  <si>
    <t>Medium Truck Tires Sold</t>
  </si>
  <si>
    <t>Medium Truck Tires Collected</t>
  </si>
  <si>
    <t>Agricultural Drive Tires Collected</t>
  </si>
  <si>
    <t>Agricultural Drive Tires Sold</t>
  </si>
  <si>
    <t>Logger/Skidder Tires Sold</t>
  </si>
  <si>
    <t>Logger/Skidder Tires Collected</t>
  </si>
  <si>
    <t>Collection Sites-Retailers</t>
  </si>
  <si>
    <t>Collection Sites-Generators</t>
  </si>
  <si>
    <t>Tire Stewardship BC</t>
  </si>
  <si>
    <t>Expenditure-Program Incentives</t>
  </si>
  <si>
    <t>Expenditure-Program Management</t>
  </si>
  <si>
    <t>Expenditure-Communications &amp; Education</t>
  </si>
  <si>
    <t>Paint and Product Care Association</t>
  </si>
  <si>
    <t>Weight of Scrap Steel Recycled (Tonnes)</t>
  </si>
  <si>
    <t>Weight of Plastic Recycled (Tonnes)</t>
  </si>
  <si>
    <t>Tree-Marking Paint Stewardship Association</t>
  </si>
  <si>
    <t>Eco Fees</t>
  </si>
  <si>
    <t>Expenditure-Education and Printed Materials</t>
  </si>
  <si>
    <t>Expenditure-Technical, Professional, Management and Communication</t>
  </si>
  <si>
    <t>Expenditure-Operating Expenditures</t>
  </si>
  <si>
    <t>Paint(non aerosol)-Sales (Litres)</t>
  </si>
  <si>
    <t>Paint(non aerosol)-Recovery (Litres)</t>
  </si>
  <si>
    <t>Paint Aerosol-Sales (Litres)</t>
  </si>
  <si>
    <t>Paint-Equivalent Litre Containers Collected</t>
  </si>
  <si>
    <t>Paint Aerosol-Recovery (Litres)</t>
  </si>
  <si>
    <t>Paint Aerosol-Equivalent Litre Containers Collected</t>
  </si>
  <si>
    <t>Flammable Liquids/Gasoline-Sales (Litres)</t>
  </si>
  <si>
    <t>Flammable Liquids/Gasoline-Recovery (Litres)</t>
  </si>
  <si>
    <t>Flammable Liquids/Gaseoline-Equivalent Litre Containers Collected</t>
  </si>
  <si>
    <t>Pesticides-Sales (Litres)</t>
  </si>
  <si>
    <t>Pesticides-Recovery (Litres)</t>
  </si>
  <si>
    <t>Pesticides-Equalivalent Litre Containers Collected</t>
  </si>
  <si>
    <t>Collection Sites-"Paint Plus" (Paint AND Flammable Liquids, Pesticides and Gasoline)</t>
  </si>
  <si>
    <t>Collection Sites-Paint Only</t>
  </si>
  <si>
    <t>Collection Sites-One Day Collection Events</t>
  </si>
  <si>
    <t>TBA</t>
  </si>
  <si>
    <t>Rate of Scrap Steel Recycled (%)</t>
  </si>
  <si>
    <t>Rate of Plastic Recycled (%)</t>
  </si>
  <si>
    <t>Absolute Collection-Total Tubskids of all Materials-Alberni Clayoquot</t>
  </si>
  <si>
    <t>Population-Alberni Clayoquot</t>
  </si>
  <si>
    <t>Absolute Collection-Total Tubskids of all Materials-Bulkley Nechako</t>
  </si>
  <si>
    <t>Population-Bulkley Nechako</t>
  </si>
  <si>
    <t>Absolute Collection-Total Tubskids of all Materials-Capital</t>
  </si>
  <si>
    <t>Population-Capital</t>
  </si>
  <si>
    <t>Absolute Collection-Total Tubskids of all Materials-Cariboo</t>
  </si>
  <si>
    <t>Population-Cariboo</t>
  </si>
  <si>
    <t>Absolute Collection-Total Tubskids of all Materials-Central Coast</t>
  </si>
  <si>
    <t>Population-Central Coast</t>
  </si>
  <si>
    <t>Absolute Collection-Total Tubskids of all Materials-Central Kootenay</t>
  </si>
  <si>
    <t>Population-Central Kootenay</t>
  </si>
  <si>
    <t>Absolute Collection-Total Tubskids of all Materials-Central Okanagan</t>
  </si>
  <si>
    <t>Population-Central Okanagan</t>
  </si>
  <si>
    <t>Absolute Collection-Total Tubskids of all Materials-Columbia Shuswap</t>
  </si>
  <si>
    <t>Population-Columbia Shuswap</t>
  </si>
  <si>
    <t>Absolute Collection-Total Tubskids of all Materials-Comox Strathcona</t>
  </si>
  <si>
    <t>Population-Comox Strathcona</t>
  </si>
  <si>
    <t>Absolute Collection-Total Tubskids of all Materials-Cowichan Valley</t>
  </si>
  <si>
    <t>Population-Cowichan Valley</t>
  </si>
  <si>
    <t>Absolute Collection-Total Tubskids of all Materials-East Kootenay</t>
  </si>
  <si>
    <t>Population-East Kootenay</t>
  </si>
  <si>
    <t>Absolute Collection-Total Tubskids of all Materials-Fraser Fort George</t>
  </si>
  <si>
    <t>Population-Fraser Fort George</t>
  </si>
  <si>
    <t>Absolute Collection-Total Tubskids of all Materials-Fraser Valley</t>
  </si>
  <si>
    <t>Population-Fraser Valley</t>
  </si>
  <si>
    <t>Absolute Collection-Total Tubskids of all Materials-Metro</t>
  </si>
  <si>
    <t>Population-Metro</t>
  </si>
  <si>
    <t>Absolute Collection-Total Tubskids of all Materials-Kitimat Stikine</t>
  </si>
  <si>
    <t>Population-Kitimat Stikine</t>
  </si>
  <si>
    <t>Absolute Collection-Total Tubskids of all Materials-Kootenay Boundary</t>
  </si>
  <si>
    <t>Population-Kootenay Boundary</t>
  </si>
  <si>
    <t>Absolute Collection-Total Tubskids of all Materials-Mt Waddington</t>
  </si>
  <si>
    <t>Population-Mt Waddington</t>
  </si>
  <si>
    <t>Absolute Collection-Total Tubskids of all Materials-Nanaimo</t>
  </si>
  <si>
    <t>Population-Nanaimo</t>
  </si>
  <si>
    <t>Absolute Collection-Total Tubskids of all Materials-North Okanagan</t>
  </si>
  <si>
    <t>Population-North Okanagan</t>
  </si>
  <si>
    <t>Absolute Collection-Total Tubskids of all Materials-Northern Rockies</t>
  </si>
  <si>
    <t>Population-Northern Rockies</t>
  </si>
  <si>
    <t>Absolute Collection-Total Tubskids of all Materials-Peace River</t>
  </si>
  <si>
    <t>Population-Peace River</t>
  </si>
  <si>
    <t>Absolute Collection-Total Tubskids of all Materials-Powell River</t>
  </si>
  <si>
    <t>Population-Powell River</t>
  </si>
  <si>
    <t>Absolute Collection-Total Tubskids of all Materials-Skeena- Queen Charlotte</t>
  </si>
  <si>
    <t>Population-Skeena- Queen Charlotte</t>
  </si>
  <si>
    <t>Absolute Collection-Total Tubskids of all Materials-Squamish Lillooet</t>
  </si>
  <si>
    <t>Population-Squamish Lillooet</t>
  </si>
  <si>
    <t>Absolute Collection-Total Tubskids of all Materials-Sunshine Coast</t>
  </si>
  <si>
    <t>Population-Sunshine Coast</t>
  </si>
  <si>
    <t>Absolute Collection-Total Tubskids of all Materials-Thompson Nicola</t>
  </si>
  <si>
    <t>Population-Thompson Nicola</t>
  </si>
  <si>
    <t>Paint Re-Used (Litres)</t>
  </si>
  <si>
    <t>Paint Pollution Prevention-Reduce at Source (%)</t>
  </si>
  <si>
    <t>Paint Pollution Prevention-Reuse (%)</t>
  </si>
  <si>
    <t>Paint Pollution Prevention-Recycle (%)</t>
  </si>
  <si>
    <t>Paint Pollution Prevention-Recover Materials/Energy (%)</t>
  </si>
  <si>
    <t>Paint Pollution Prevention-Manage Residuals (%)</t>
  </si>
  <si>
    <t>Flammable Liquids Paint Pollution Prevention-Reduce at Source (%)</t>
  </si>
  <si>
    <t>Flammable Liquids Paint Pollution Prevention-Reuse (%)</t>
  </si>
  <si>
    <t>Flammable Liquids Paint Pollution Prevention-Recover Materials/Energy (%)</t>
  </si>
  <si>
    <t>Flammable Liquids Paint Pollution Prevention-Recycle (%)</t>
  </si>
  <si>
    <t>Flammable Liquids Paint Pollution Prevention-Manage Residuals (%)</t>
  </si>
  <si>
    <t>Pesticides Pollution Prevention-Reduce at Source (%)</t>
  </si>
  <si>
    <t>Pesticides Pollution Prevention-Reuse (%)</t>
  </si>
  <si>
    <t>Pesticides Pollution Prevention-Recycle (%)</t>
  </si>
  <si>
    <t>Pesticides Pollution Prevention-Recover Materials/Energy (%)</t>
  </si>
  <si>
    <t>Pesticides Pollution Prevention-Manage Residuals (%)</t>
  </si>
  <si>
    <t>Gasoline Pollution Prevention-Reduce at Source (%)</t>
  </si>
  <si>
    <t>Gasoline Pesticides Pollution Prevention-Reuse (%)</t>
  </si>
  <si>
    <t>Gasoline Pesticides Pollution Prevention-Recycle (%)</t>
  </si>
  <si>
    <t>Gasoline Pesticides Pollution Prevention-Manage Residuals (%)</t>
  </si>
  <si>
    <t>Gasoline Pesticides Pollution Prevention-Recover Materials/Energy (%)</t>
  </si>
  <si>
    <t>Recovery Rate-Paint (non aerosol)  (%)</t>
  </si>
  <si>
    <t>Recovery Rate-Paint Aerosol  (%)</t>
  </si>
  <si>
    <t>Recovery Rate-Flammable Liquids/Gasoline  (%)</t>
  </si>
  <si>
    <t>Recovery Rate-Pesticides  (%)</t>
  </si>
  <si>
    <t>Appendix 1: Tubskids and Population of BC Regional Districts</t>
  </si>
  <si>
    <t>Alberni Clayoquot</t>
  </si>
  <si>
    <t>Bulkley Nechako</t>
  </si>
  <si>
    <t>Capital</t>
  </si>
  <si>
    <t>Cariboo</t>
  </si>
  <si>
    <t>Central Coast</t>
  </si>
  <si>
    <t>Central Kootenay</t>
  </si>
  <si>
    <t>Central Okanagan</t>
  </si>
  <si>
    <t>Columbia Shuswap</t>
  </si>
  <si>
    <t>Comox Strathcona</t>
  </si>
  <si>
    <t>Cowichan Valley</t>
  </si>
  <si>
    <t>East Kootenay</t>
  </si>
  <si>
    <t>Fraser Fort George</t>
  </si>
  <si>
    <t>Fraser Valley</t>
  </si>
  <si>
    <t>Metro</t>
  </si>
  <si>
    <t>Kitimat Stikine</t>
  </si>
  <si>
    <t>Kootenay Boundary</t>
  </si>
  <si>
    <t>Mt Waddington</t>
  </si>
  <si>
    <t>Nanaimo</t>
  </si>
  <si>
    <t>North Okanagan</t>
  </si>
  <si>
    <t>Northern Rockies</t>
  </si>
  <si>
    <t>Okanagan Similkamee</t>
  </si>
  <si>
    <t>Peace River</t>
  </si>
  <si>
    <t>Powell River</t>
  </si>
  <si>
    <t>Skeena- Queen Charlotte</t>
  </si>
  <si>
    <t>Squamish Lillooet</t>
  </si>
  <si>
    <t>Sunshine Coast</t>
  </si>
  <si>
    <t>Thompson Nicola</t>
  </si>
  <si>
    <t>Absolute Collection-Tubskids of all Materials Per Person-</t>
  </si>
  <si>
    <t>Total Aerosol Paint Sold in BC</t>
  </si>
  <si>
    <t>Containers Processed by Forest Companies</t>
  </si>
  <si>
    <t>Containers Processed by Brand Owners</t>
  </si>
  <si>
    <t>Recovery Rate-Containers Processed (%)</t>
  </si>
  <si>
    <t>Aerosol Paint-Equalivalent Litre Containers Collected</t>
  </si>
  <si>
    <t>Residual Aerosol Paint Recovered (Litres)</t>
  </si>
  <si>
    <t>Volume of residual paint recovered by forest companies is not included in the above estimate.</t>
  </si>
  <si>
    <t>Residual paint recovered estimate is based on a conversion rate of 200 litres of residual aerosol paint for every 7000 empty aerosol containers processed.</t>
  </si>
  <si>
    <t>Notes:</t>
  </si>
  <si>
    <t>Number of companies registered with the ESABC Program</t>
  </si>
  <si>
    <t>North</t>
  </si>
  <si>
    <t>Lower Mainland</t>
  </si>
  <si>
    <t>Kootenays</t>
  </si>
  <si>
    <t>Population-</t>
  </si>
  <si>
    <t>Okanagan</t>
  </si>
  <si>
    <t>Environmental Handling Fees</t>
  </si>
  <si>
    <t>Expenses-Direct Operations</t>
  </si>
  <si>
    <t>Expenses-Administration and Management Fees</t>
  </si>
  <si>
    <t>Expenses-Consumer Awareness</t>
  </si>
  <si>
    <t>Vancouver Island</t>
  </si>
  <si>
    <t>BC Average</t>
  </si>
  <si>
    <t>Units Sold-Total</t>
  </si>
  <si>
    <t>Expenses-Research and Development</t>
  </si>
  <si>
    <t>Collection Sites-Rate of Pharmacy Participation in BC (%)</t>
  </si>
  <si>
    <t>Absolute Collection-Weight of Unused/Expired Medications Returned (kg)</t>
  </si>
  <si>
    <t>Post-Consumer Pharmaceutical Stewardship Association</t>
  </si>
  <si>
    <t>Absolute Collection-Weight of Unused/Expired Medications Returned since 1996 (kg)</t>
  </si>
  <si>
    <t>Expenditure-Program Cost</t>
  </si>
  <si>
    <t>Absolute Collection-Number of Containers</t>
  </si>
  <si>
    <t>Absolute Collection-Weight Collected (kg)-</t>
  </si>
  <si>
    <t>Absolute Collection-Number of Containers-</t>
  </si>
  <si>
    <t>Coastal BC</t>
  </si>
  <si>
    <t>Northern BC</t>
  </si>
  <si>
    <t>Pollution Prevention-Reduce at Source Rate (%)</t>
  </si>
  <si>
    <t>Pollution Prevention-Reuse  Rate (%)</t>
  </si>
  <si>
    <t>Pollution Prevention-Recycle  Rate (%)</t>
  </si>
  <si>
    <t>Pollution Prevention-Recover Materials/Energy  Rate (%)</t>
  </si>
  <si>
    <t>Pollution Prevention-Manage Residuals  Rate (%)</t>
  </si>
  <si>
    <t>Appendix 1: Absolute Collection by Region (2004-2006)</t>
  </si>
  <si>
    <t>Alberni-Clayoquot</t>
  </si>
  <si>
    <t>Bulkley-Nechako</t>
  </si>
  <si>
    <t>Columbia-Shuswap</t>
  </si>
  <si>
    <t>Comox-Strathcona</t>
  </si>
  <si>
    <t>Fraser-Fort George</t>
  </si>
  <si>
    <t>Kitimat-Stikine</t>
  </si>
  <si>
    <t>Kootenay-Boundary</t>
  </si>
  <si>
    <t>Metro Vancouver</t>
  </si>
  <si>
    <t>Mount Waddington</t>
  </si>
  <si>
    <t>Okanagan-Similkameen</t>
  </si>
  <si>
    <t>Skeena-Queen Charlotte</t>
  </si>
  <si>
    <t>Squamish-Lillooet</t>
  </si>
  <si>
    <t>Thompson-Nicola</t>
  </si>
  <si>
    <t>Absolute Collection-Weight Collected per person (kg)-</t>
  </si>
  <si>
    <t>Absolute Collection-Average Weight Collected per person (kg)-</t>
  </si>
  <si>
    <t>Appendix 1: Absolute Collection of all Materials by Regional District</t>
  </si>
  <si>
    <t>Expenditure-Return Incentives and Infrastructure Development Incentives</t>
  </si>
  <si>
    <t>Expenditure-Communications and Public Relations</t>
  </si>
  <si>
    <t>Revenue-Environmental Handling Charges</t>
  </si>
  <si>
    <t>Expenditure-Consumer Awareness</t>
  </si>
  <si>
    <t>Expenditure-General and Administrative</t>
  </si>
  <si>
    <t>Revenue-Total (Not including Deposits Charged)</t>
  </si>
  <si>
    <t>Expenditure-Total (Not including Deposits Returned)</t>
  </si>
  <si>
    <t>Balance (Not including Deposits Charged/Returned)</t>
  </si>
  <si>
    <t>Revenue-Container Recycling Fees</t>
  </si>
  <si>
    <t>Absolute Collection-Units Collected-</t>
  </si>
  <si>
    <t>Absolute Collection-Weight Collected (Tonnes)-</t>
  </si>
  <si>
    <t>Absolute Collection-Per Capita Container Returns-</t>
  </si>
  <si>
    <t>C02 Equivalent Reduced (Tonnes)</t>
  </si>
  <si>
    <t>Reduced Pollutants Associated with Container Recovery-Nitrogen Oxides (Tonnes)</t>
  </si>
  <si>
    <t>Reduced Pollutants Associated with Container Recovery-Sulfur Oxides (Tonnes)</t>
  </si>
  <si>
    <t>Reduced Pollutants Associated with Container Recovery-Particulate Matter (Tonnes)</t>
  </si>
  <si>
    <t>Reduced Pollutants Associated with Container Recovery-Solid Waste (Tonnes)</t>
  </si>
  <si>
    <t>*Note: Reduced Pollutants refers to pollutants that would have been produced if BLD's recycling system did not exist, and the bottles they would have recycled were instead replaced by containers made from virgin materials.</t>
  </si>
  <si>
    <t>Avoided Energy (Gigajoules)</t>
  </si>
  <si>
    <t>BC Population Total</t>
  </si>
  <si>
    <t>Total GHG Emissions from All Encorp Pacific Sources (Tonnes)</t>
  </si>
  <si>
    <t>Revenue-Total (Including Deposits Charged)</t>
  </si>
  <si>
    <t>Expenditure-Total (Including Deposits Returned)</t>
  </si>
  <si>
    <t>Balance (Including Deposits Charged/Returned)</t>
  </si>
  <si>
    <t>Absolute Collection-Total Tubskids of all Materials - BC Average</t>
  </si>
  <si>
    <t>Population-BC</t>
  </si>
  <si>
    <t>Beverage Containers</t>
  </si>
  <si>
    <t>Paints</t>
  </si>
  <si>
    <t>Solvents and Flammable Liquids, Gasoline and Pesticides</t>
  </si>
  <si>
    <t>Pharmaceuticals</t>
  </si>
  <si>
    <t>Used Lubricating Oil, Filters and Containers</t>
  </si>
  <si>
    <t>Electronics and Electrical</t>
  </si>
  <si>
    <t>Tires</t>
  </si>
  <si>
    <t>Passenger Tire Equivalent</t>
  </si>
  <si>
    <t>Recovery Rate-TSBC Tires Collected for Reuse/Recycling</t>
  </si>
  <si>
    <t>Recovery Rate-Tires Delivered to a Recycling Facility</t>
  </si>
  <si>
    <t>Total # or Average %</t>
  </si>
  <si>
    <t>Tonnes of tires diverted from landfill:</t>
  </si>
  <si>
    <t>Aerosol containers processed*:</t>
  </si>
  <si>
    <t>Number of tires collected*:</t>
  </si>
  <si>
    <t>NA</t>
  </si>
  <si>
    <t>Number of beverage containers sold:</t>
  </si>
  <si>
    <t>Beverage container recovery rate (%)</t>
  </si>
  <si>
    <t>Tire recovery rate*:</t>
  </si>
  <si>
    <t>Collected tires recycled:</t>
  </si>
  <si>
    <t>Collected tires reused:</t>
  </si>
  <si>
    <t>Number of beverage containers recovered*:</t>
  </si>
  <si>
    <t>Collected paint recycled or reused* (%):</t>
  </si>
  <si>
    <t>Collected paint recovered for energy (%):</t>
  </si>
  <si>
    <t>Aerosol containers recovery rate (%):</t>
  </si>
  <si>
    <t>Collected gasoline recovered for energy (%):</t>
  </si>
  <si>
    <t>Collected residual presticides incinerated (%):</t>
  </si>
  <si>
    <t>Collected flam. liquids recovered for energy (%):</t>
  </si>
  <si>
    <t>Ministry of Environment Industry Product Stewardship Data Roll-up</t>
  </si>
  <si>
    <t>Electronics can be reused or broken down into valuable parts, like metals and resuable components.</t>
  </si>
  <si>
    <t>Tires are made into flooring, mats and asphalt.</t>
  </si>
  <si>
    <t xml:space="preserve">Medicines are incinerated. </t>
  </si>
  <si>
    <t>Used oil is re-refined into new lubricating oil products or used as fuel in pulp mills. Steel from filters is used to make rebar. Plastic containers make new containers, drainage tiles and parking curbs.</t>
  </si>
  <si>
    <t>WHAT THESE PRODUCTS BECOME:</t>
  </si>
  <si>
    <t>Cans become cans again, juice boxes become cardboard, plastic bottles are transformed into a fibre, and glass bottles are crushed back into sand.</t>
  </si>
  <si>
    <t>Litres of paint collected*:</t>
  </si>
  <si>
    <t>Litres of flam. Liquids/gasoline collected:</t>
  </si>
  <si>
    <t>Litres of pesticides collected:</t>
  </si>
  <si>
    <t>Flammable liquids and gasoline are recovered and reused as fuel. Pesticides are incinerated.</t>
  </si>
  <si>
    <t>Paint is reused or reprocessed into new paint. It can also be used in concrete and cement manufacturing.</t>
  </si>
  <si>
    <t>Litres of flam. Liquids/Gasoline sold:</t>
  </si>
  <si>
    <t>Litres of pesticides sold:</t>
  </si>
  <si>
    <t>Litres of paint sold:</t>
  </si>
  <si>
    <t>Litres of used oil collected:</t>
  </si>
  <si>
    <t>Number of used oil filters collected:</t>
  </si>
  <si>
    <t>Kilograms of used oil containers collected:</t>
  </si>
  <si>
    <t>Used oil recovery rate (%):</t>
  </si>
  <si>
    <t>Used oil filters recovery rate (%):</t>
  </si>
  <si>
    <t>Kilograms of medications returned:</t>
  </si>
  <si>
    <t>Collected containers recycled or reused* (%):</t>
  </si>
  <si>
    <t>Equivalent litre containers (ELCs) of paint collected*:</t>
  </si>
  <si>
    <t>ELCs of flam. liquids/gasoline collected:</t>
  </si>
  <si>
    <t>ELCs of pesticides collected:</t>
  </si>
  <si>
    <t>Oil-Litres Sold</t>
  </si>
  <si>
    <t>Oil Filters-Number Sold</t>
  </si>
  <si>
    <t>Litres of oil sold*:</t>
  </si>
  <si>
    <t>Number of oil filters sold*:</t>
  </si>
  <si>
    <t>Kilograms of oil containers sold*:</t>
  </si>
  <si>
    <t>Tonnes of electronic waste diverted from landfill*:</t>
  </si>
  <si>
    <t>Number of tires sold*:</t>
  </si>
  <si>
    <r>
      <t>Tires:</t>
    </r>
    <r>
      <rPr>
        <sz val="12"/>
        <color theme="1"/>
        <rFont val="Calibri"/>
        <family val="2"/>
        <scheme val="minor"/>
      </rPr>
      <t xml:space="preserve"> The reported recovery rate assumes that un-returned tires are reused.</t>
    </r>
  </si>
  <si>
    <r>
      <t>Overall:</t>
    </r>
    <r>
      <rPr>
        <sz val="12"/>
        <color theme="1"/>
        <rFont val="Calibri"/>
        <family val="2"/>
        <scheme val="minor"/>
      </rPr>
      <t xml:space="preserve"> A number of these programs have existed prior to 2000; however, data was not readily available for earlier periods.</t>
    </r>
  </si>
  <si>
    <r>
      <rPr>
        <u/>
        <sz val="12"/>
        <color theme="1"/>
        <rFont val="Calibri"/>
        <family val="2"/>
        <scheme val="minor"/>
      </rPr>
      <t>Bottles</t>
    </r>
    <r>
      <rPr>
        <sz val="12"/>
        <color theme="1"/>
        <rFont val="Calibri"/>
        <family val="2"/>
        <scheme val="minor"/>
      </rPr>
      <t>: The number of beverage containers collected/sold represents the sum of Encorp Pacific, Liquor Distribution Branch and Brewer Distributor Ltd. operations. In 2000 only Encorp Pacific reported these numbers. After 2006 Encorp Pacific reported on behalf of itself and the Liquor Distribution Branch. Brewer's 2008 report is not available and its collection numbers are not included.</t>
    </r>
  </si>
  <si>
    <r>
      <rPr>
        <u/>
        <sz val="12"/>
        <color theme="1"/>
        <rFont val="Calibri"/>
        <family val="2"/>
        <scheme val="minor"/>
      </rPr>
      <t xml:space="preserve">Bottles: </t>
    </r>
    <r>
      <rPr>
        <sz val="12"/>
        <color theme="1"/>
        <rFont val="Calibri"/>
        <family val="2"/>
        <scheme val="minor"/>
      </rPr>
      <t>It is assumed that 100% of collected bottles are recycled; no annual reports provide specific numbers detailing how all materials are managed on the pollution prevention hierarchy.</t>
    </r>
  </si>
  <si>
    <r>
      <rPr>
        <u/>
        <sz val="12"/>
        <color theme="1"/>
        <rFont val="Calibri"/>
        <family val="2"/>
        <scheme val="minor"/>
      </rPr>
      <t>Paint</t>
    </r>
    <r>
      <rPr>
        <sz val="12"/>
        <color theme="1"/>
        <rFont val="Calibri"/>
        <family val="2"/>
        <scheme val="minor"/>
      </rPr>
      <t>: Litres of paint collected and equivalent litres of paint collected include regular paints and aerosol paints collected by the Paint and Product Care Association.</t>
    </r>
  </si>
  <si>
    <r>
      <rPr>
        <u/>
        <sz val="12"/>
        <color theme="1"/>
        <rFont val="Calibri"/>
        <family val="2"/>
        <scheme val="minor"/>
      </rPr>
      <t>Paint</t>
    </r>
    <r>
      <rPr>
        <sz val="12"/>
        <color theme="1"/>
        <rFont val="Calibri"/>
        <family val="2"/>
        <scheme val="minor"/>
      </rPr>
      <t>: Equivalent Litre containers does not refer to the total litres of materials returned, but the total capacity of returned containers.</t>
    </r>
  </si>
  <si>
    <r>
      <rPr>
        <u/>
        <sz val="12"/>
        <color theme="1"/>
        <rFont val="Calibri"/>
        <family val="2"/>
        <scheme val="minor"/>
      </rPr>
      <t>Paint</t>
    </r>
    <r>
      <rPr>
        <sz val="12"/>
        <color theme="1"/>
        <rFont val="Calibri"/>
        <family val="2"/>
        <scheme val="minor"/>
      </rPr>
      <t>: In addition to being recycled/reused paint is also used as a fuel.</t>
    </r>
  </si>
  <si>
    <r>
      <rPr>
        <u/>
        <sz val="12"/>
        <color theme="1"/>
        <rFont val="Calibri"/>
        <family val="2"/>
        <scheme val="minor"/>
      </rPr>
      <t>Paint</t>
    </r>
    <r>
      <rPr>
        <sz val="12"/>
        <color theme="1"/>
        <rFont val="Calibri"/>
        <family val="2"/>
        <scheme val="minor"/>
      </rPr>
      <t>: The Tree Marking Stewardship Association's performance results have not been released since 2006.</t>
    </r>
  </si>
  <si>
    <r>
      <rPr>
        <u/>
        <sz val="12"/>
        <color theme="1"/>
        <rFont val="Calibri"/>
        <family val="2"/>
        <scheme val="minor"/>
      </rPr>
      <t>Oil, Filters &amp; Containers</t>
    </r>
    <r>
      <rPr>
        <sz val="12"/>
        <color theme="1"/>
        <rFont val="Calibri"/>
        <family val="2"/>
        <scheme val="minor"/>
      </rPr>
      <t>: The steward only started reporting the amounts sold in 2006, therefore the totals do not reflect sales since the 2003 start period.</t>
    </r>
  </si>
  <si>
    <r>
      <rPr>
        <u/>
        <sz val="12"/>
        <color theme="1"/>
        <rFont val="Calibri"/>
        <family val="2"/>
        <scheme val="minor"/>
      </rPr>
      <t>Tires</t>
    </r>
    <r>
      <rPr>
        <sz val="12"/>
        <color theme="1"/>
        <rFont val="Calibri"/>
        <family val="2"/>
        <scheme val="minor"/>
      </rPr>
      <t>: The total number of tires collected/sold includes all types of tires collected. An additional appropriate measure might be the total weight of tires. The Steward reports passenger tire equivalent numbers in 2007, but not 2008.</t>
    </r>
  </si>
  <si>
    <r>
      <rPr>
        <u/>
        <sz val="12"/>
        <color theme="1"/>
        <rFont val="Calibri"/>
        <family val="2"/>
        <scheme val="minor"/>
      </rPr>
      <t>Electronic and electrical</t>
    </r>
    <r>
      <rPr>
        <sz val="12"/>
        <color theme="1"/>
        <rFont val="Calibri"/>
        <family val="2"/>
        <scheme val="minor"/>
      </rPr>
      <t>: Electronic waste diverted from the landfill includes display devices (televison/monitors), desktop computers, and printer/fax machines.</t>
    </r>
  </si>
  <si>
    <t>Comox</t>
  </si>
  <si>
    <t>Strathcona</t>
  </si>
  <si>
    <t>2007/08</t>
  </si>
  <si>
    <t>2009/10</t>
  </si>
  <si>
    <t>Comox Valley</t>
  </si>
  <si>
    <t>Stikine Region</t>
  </si>
  <si>
    <t>2008/09</t>
  </si>
  <si>
    <t>Recovery Rate-Antifreeze</t>
  </si>
  <si>
    <t>Antifreeze -litres sold</t>
  </si>
  <si>
    <t>Containers-Weight (kg) Collected</t>
  </si>
  <si>
    <t>Containers-Weight (kg) Sold</t>
  </si>
  <si>
    <t>Antifreeze -litres collected</t>
  </si>
  <si>
    <t>Recovery Rate-Containers</t>
  </si>
  <si>
    <t>Antifreeze-Recoverable Litres</t>
  </si>
  <si>
    <t>Containers recovery rate (%):</t>
  </si>
  <si>
    <t>Absolute Collection-Total Tubskids of all Materials-Strathcona</t>
  </si>
  <si>
    <t>Population-Strathcona</t>
  </si>
  <si>
    <t>Absolute Collection-Total Tubskids of all Materials-Comox</t>
  </si>
  <si>
    <t>Population-Comox</t>
  </si>
  <si>
    <t>Canadian Electrical Stewardship Association (CESA)</t>
  </si>
  <si>
    <t>Collection Sites-'Regular' products</t>
  </si>
  <si>
    <t>Collection Sites-'Very large' products</t>
  </si>
  <si>
    <t xml:space="preserve">Accessibility - % of BC population with  access (defined as the presence of an ElectroRecycle collection facility within a 30-minute drive for urban residents, or 45-minute drive for rural residents)
</t>
  </si>
  <si>
    <t>Regular products collected-Weight Collected per person (kg)-</t>
  </si>
  <si>
    <t>Absolute collection - Regular products -Weight (kg)-</t>
  </si>
  <si>
    <t>Expenses-Communications and program administration</t>
  </si>
  <si>
    <t>BC Smoke and CO Alarm Recycling Program</t>
  </si>
  <si>
    <t>Collection Sites- return-to-retail</t>
  </si>
  <si>
    <t>Collection Sites- private recycling depots</t>
  </si>
  <si>
    <t xml:space="preserve">Accessibility - % of BC population with  access
</t>
  </si>
  <si>
    <t>Absolute collection - smoke and CO alarms</t>
  </si>
  <si>
    <t>Expenses-Communications</t>
  </si>
  <si>
    <t xml:space="preserve">Expenses-Administration </t>
  </si>
  <si>
    <t>Very large products collected (units)</t>
  </si>
  <si>
    <t>Regular products collected (kg)</t>
  </si>
  <si>
    <t>Units collected per person</t>
  </si>
  <si>
    <t>BC Lamp and Lighting Equipment (LightRecycle)</t>
  </si>
  <si>
    <t>Units collected (lamps)</t>
  </si>
  <si>
    <t>Fixtures collected (tonnes)</t>
  </si>
  <si>
    <t>Units of program products sold</t>
  </si>
  <si>
    <t>PCB ballasts collected (kg)</t>
  </si>
  <si>
    <t>Crushed lamps collected (Kg)</t>
  </si>
  <si>
    <t>Capture Rate - CFLs</t>
  </si>
  <si>
    <t>Capture Rate - Fluorescent Tubes</t>
  </si>
  <si>
    <t>Consumer Awareness of the Program</t>
  </si>
  <si>
    <t>Absolute collection - estimate of units</t>
  </si>
  <si>
    <t>Mercury containing thermostats collected</t>
  </si>
  <si>
    <t>Electronic thermostats collected</t>
  </si>
  <si>
    <t>Loose mercury vessels collected</t>
  </si>
  <si>
    <t>Total thermostats collected (adjusted total)</t>
  </si>
  <si>
    <t>Absolute collection - number of thermostats</t>
  </si>
  <si>
    <t>Absolute collection - adjusted number of thermostats</t>
  </si>
  <si>
    <t>Absolute collection - number of loose vessels</t>
  </si>
  <si>
    <t xml:space="preserve">Accessibility - % of BC population within 15km
</t>
  </si>
  <si>
    <t>Cellphones collected (units)</t>
  </si>
  <si>
    <t>Call2Recycle</t>
  </si>
  <si>
    <t>Batteries collected (kg) - single use (primary)</t>
  </si>
  <si>
    <t>Batteries collected (kg) - rechargeable</t>
  </si>
  <si>
    <t>Batteries collected (kg) - Total</t>
  </si>
  <si>
    <t>Batteries sold (kg)</t>
  </si>
  <si>
    <t>Absolute collection - batteries (kg)</t>
  </si>
  <si>
    <t>Stikine</t>
  </si>
  <si>
    <t>Batteries collected - percentage of sales</t>
  </si>
  <si>
    <t>Battery collection rate (as stated in report)</t>
  </si>
  <si>
    <t>Awareness of cell phone recycling in BC</t>
  </si>
  <si>
    <t>Customer satisfaction (nationally)</t>
  </si>
  <si>
    <t>Devices sent for recycling</t>
  </si>
  <si>
    <t>Devices sent for refurbishment and reuse</t>
  </si>
  <si>
    <t>Product collected  (units) - RMC member internal initiatives</t>
  </si>
  <si>
    <t>Product collected  (units)- Recycle My Cell initiatives</t>
  </si>
  <si>
    <t>Product collected  (units)- all initiatives</t>
  </si>
  <si>
    <t>Batteries (kg) collected per person</t>
  </si>
  <si>
    <t>Adjusted number of thermostats collected per person</t>
  </si>
  <si>
    <t>Canadian Wireless Telecommunications Association (CWTA) - Recycle My Cell</t>
  </si>
  <si>
    <t>TELUS Communications Company</t>
  </si>
  <si>
    <t>Total Program Product Recovery Rate</t>
  </si>
  <si>
    <t>Units collected per person (kg)</t>
  </si>
  <si>
    <t>Total Program Product Collection Volumes (kg)</t>
  </si>
  <si>
    <t>Total Program Product Distributed into BC (kg)</t>
  </si>
  <si>
    <t>Shaw Communications</t>
  </si>
  <si>
    <t>Shaw Equipment Distributed in BC (kg)</t>
  </si>
  <si>
    <t>Equipment recovered in BC (kg)</t>
  </si>
  <si>
    <t>Recovery Rate</t>
  </si>
  <si>
    <t>Collection Sites-Total Number in Canada</t>
  </si>
  <si>
    <t>Equipment shipped to GEEP (kg)</t>
  </si>
  <si>
    <t>Equipment processed for material or energy recovery (kg)</t>
  </si>
  <si>
    <t>Telematics Hardware returned to AutoVision Wireless (kg)</t>
  </si>
  <si>
    <t>Computers donated rto Computers in Schools</t>
  </si>
  <si>
    <t>Total end of use equipment collected (kg)</t>
  </si>
  <si>
    <t>Equipment diverted from landfill (kg)</t>
  </si>
  <si>
    <t>Percent diverted from landfill</t>
  </si>
  <si>
    <t>Collection facilities in BC</t>
  </si>
  <si>
    <r>
      <t>Recycling rate (Renewable Resource Centre (RRC) in Oak Creek, Wisconsin</t>
    </r>
    <r>
      <rPr>
        <b/>
        <i/>
        <sz val="11"/>
        <color theme="1"/>
        <rFont val="Calibri"/>
        <family val="2"/>
        <scheme val="minor"/>
      </rPr>
      <t>)</t>
    </r>
  </si>
  <si>
    <r>
      <t>Disposal rate (Renewable Resource Centre (RRC) in Oak Creek, Wisconsin</t>
    </r>
    <r>
      <rPr>
        <b/>
        <i/>
        <sz val="11"/>
        <color theme="1"/>
        <rFont val="Calibri"/>
        <family val="2"/>
        <scheme val="minor"/>
      </rPr>
      <t>)</t>
    </r>
  </si>
  <si>
    <t>No. of Products &gt;200 kg in weight collected from BC</t>
  </si>
  <si>
    <t>No. of Products &gt;200 kg in weight sold in BC</t>
  </si>
  <si>
    <t>No. of BC collected products &gt;200 kg in weight re-sold</t>
  </si>
  <si>
    <t>No. of BC collected products &gt;200 kg in weight recycled</t>
  </si>
  <si>
    <t>Canadian Beverage Association</t>
  </si>
  <si>
    <t>Recovery rate</t>
  </si>
  <si>
    <t>Recycling rate</t>
  </si>
  <si>
    <t>Beverage Coolers lost in trade (units)</t>
  </si>
  <si>
    <t>Beverage Coolers sold to third party (units)</t>
  </si>
  <si>
    <t>Beverage Vending Machines lost in trade (units)</t>
  </si>
  <si>
    <t>Beverage Vending Machines sold to third party (units)</t>
  </si>
  <si>
    <t>Beverage Dispenser Systems lost in trade (units)</t>
  </si>
  <si>
    <t>Beverage Dispenser Systems sold to third party (units)</t>
  </si>
  <si>
    <t>Total lost in trade (units)</t>
  </si>
  <si>
    <t>Total sold to third party (units)</t>
  </si>
  <si>
    <t>Beverage Coolers sent for end-of-life management (units)</t>
  </si>
  <si>
    <t>Beverage Vending Machines sent for end-of-life management (units)</t>
  </si>
  <si>
    <t>Beverage Dispenser Systems sent for end-of-life management (units)</t>
  </si>
  <si>
    <t>Beverage Vending Machines Recycled (tonnes)</t>
  </si>
  <si>
    <t>Beverage Dispenser Systems Recycled (tonnes)</t>
  </si>
  <si>
    <t>Beverage Coolers Landfilled (tonnes)</t>
  </si>
  <si>
    <t>Beverage Vending Machines Landfilled (tonnes)</t>
  </si>
  <si>
    <t>Beverage Dispenser Systems Landfilled (tonnes)</t>
  </si>
  <si>
    <t>Total sent for end-of-life management (units)</t>
  </si>
  <si>
    <t>Total Recycled (tonnes)</t>
  </si>
  <si>
    <t>Total Landfilled (tonnes)</t>
  </si>
  <si>
    <t xml:space="preserve">Outdoor Power Equipment Institute of Canada (OPEIC)
</t>
  </si>
  <si>
    <t>Consumer awareness (OPEIC Recycling Awareness Survey)</t>
  </si>
  <si>
    <t>Consumer awareness ( SABC Consumer Benchmark Survey)</t>
  </si>
  <si>
    <t>Product sold - hand-held OPE (units)</t>
  </si>
  <si>
    <t>Product sold - walk-behind OPE (units)</t>
  </si>
  <si>
    <t>Product sold - lawn tractors (units)</t>
  </si>
  <si>
    <t>Product sold - total (units)</t>
  </si>
  <si>
    <t xml:space="preserve"> Electric outdoor power equipment in sampled scrap metal in CARI network</t>
  </si>
  <si>
    <t>Major Appliance Recycling Roundtable (MARR)</t>
  </si>
  <si>
    <t>Absolute collection (tonnes)</t>
  </si>
  <si>
    <t>Product collected per person (kg)</t>
  </si>
  <si>
    <t>Collection Sites- Depots for public</t>
  </si>
  <si>
    <t>Collection Sites- Depots for industry</t>
  </si>
  <si>
    <t>Product sold - CBA SLI (kg)</t>
  </si>
  <si>
    <t>Product sold - CBA &amp; IBSA* LAB (kg)</t>
  </si>
  <si>
    <t>Product collected - CBA SLI (kg)</t>
  </si>
  <si>
    <t>Product collected - CBA &amp; IBSA* LAB (kg)</t>
  </si>
  <si>
    <t>Collection rate - CBA SLI (kg)</t>
  </si>
  <si>
    <t>Collection rate - CBA &amp; IBSA* LAB (kg)</t>
  </si>
  <si>
    <t>Batteries collected per person (kg)</t>
  </si>
  <si>
    <t>Product distributed in BC (kg)</t>
  </si>
  <si>
    <t>Product recycled in BC (kg)</t>
  </si>
  <si>
    <t>Batteries recycled per person (kg)</t>
  </si>
  <si>
    <t>Lead Acid Batteries</t>
  </si>
  <si>
    <t>Tonnes of lead acid batteries diverted from landfill:</t>
  </si>
  <si>
    <t>Total expenditure for product category</t>
  </si>
  <si>
    <t>Total expenditure for all product categories</t>
  </si>
  <si>
    <t>Total reported expenditure*</t>
  </si>
  <si>
    <t>*NOTE: Not all programs report expenditure, and information is not available for all years. These figures represent 'reported' expenditure only (i.e. that included in published annual reports) and should not be taken as total costs of EPR programs.</t>
  </si>
  <si>
    <t>Total reported expenditure - excluding program incentives*</t>
  </si>
  <si>
    <r>
      <rPr>
        <u/>
        <sz val="12"/>
        <color theme="1"/>
        <rFont val="Calibri"/>
        <family val="2"/>
        <scheme val="minor"/>
      </rPr>
      <t>Total expenditure for all product categories</t>
    </r>
    <r>
      <rPr>
        <sz val="12"/>
        <color theme="1"/>
        <rFont val="Calibri"/>
        <family val="2"/>
        <scheme val="minor"/>
      </rPr>
      <t>: Not all programs report expenditure, and information is not available for all years. These figures represent 'reported' expenditure only (i.e. that included in published annual reports) and should not be taken as total costs of EPR programs.</t>
    </r>
  </si>
  <si>
    <t>Information taken from public facing annual report</t>
  </si>
  <si>
    <t>Provincial Total</t>
  </si>
  <si>
    <t>Consumer Awareness %</t>
  </si>
  <si>
    <t>Population Per 2014 Municipal and Regional District Population estimates</t>
  </si>
  <si>
    <t>Recovery Rate or Capture  Rate  (numerical value, indicate unit of measure)</t>
  </si>
  <si>
    <t>Per Capita Recovery or Capture Rate</t>
  </si>
  <si>
    <t>Greater/Metro Vancouver</t>
  </si>
  <si>
    <t>Regional District</t>
  </si>
  <si>
    <t>Absolute Collection and Per Capita by Regional District</t>
  </si>
  <si>
    <t>Weight of Scrap Steel Landfilled (Tonnes)</t>
  </si>
  <si>
    <t>Collection Sites- other</t>
  </si>
  <si>
    <t>Collection Sites- local government</t>
  </si>
  <si>
    <t xml:space="preserve">Consumer Awareness - % 
</t>
  </si>
  <si>
    <t>Name</t>
  </si>
  <si>
    <t>BC Population</t>
  </si>
  <si>
    <t>Notes</t>
  </si>
  <si>
    <t>Greater Vancouver</t>
  </si>
  <si>
    <t>Briitish Columbia</t>
  </si>
  <si>
    <t>n/a</t>
  </si>
  <si>
    <t>Population-Okanagan Similkameen</t>
  </si>
  <si>
    <t>Oil Reuse</t>
  </si>
  <si>
    <t>Oil Recycling</t>
  </si>
  <si>
    <t>Antifreeze Reuse</t>
  </si>
  <si>
    <t>Antifreeze Recycling</t>
  </si>
  <si>
    <t>Oil Energy Recovery</t>
  </si>
  <si>
    <t>Antifreeze Energy Recovery</t>
  </si>
  <si>
    <t>Container Recycling</t>
  </si>
  <si>
    <t>Filters Recycled</t>
  </si>
  <si>
    <t>Collection Sites</t>
  </si>
  <si>
    <t>End Fate for Products Collected by %</t>
  </si>
  <si>
    <t>Total Adjusted</t>
  </si>
  <si>
    <t>Total Adjusted Report in Annual Report</t>
  </si>
  <si>
    <t>Total Absolute Collection (kg)</t>
  </si>
  <si>
    <t>Province</t>
  </si>
  <si>
    <t>Total Absolute Collection (kg) in Annual Report</t>
  </si>
  <si>
    <t>Total Absolute Collection (kg) by CWTA</t>
  </si>
  <si>
    <t>Bell - joined EPRA's Program in 2013</t>
  </si>
  <si>
    <t>Total # of Product Collected (units)</t>
  </si>
  <si>
    <t>Beverage Vending Machines collected for refurbishment (units)</t>
  </si>
  <si>
    <t>Beverage Coolers collected for refurbishment (units)</t>
  </si>
  <si>
    <t>Beverage Dispenser Systems collected for refurbishment (units)</t>
  </si>
  <si>
    <t>Total collected for refurbishment</t>
  </si>
  <si>
    <t xml:space="preserve">Beverage Coolers Recycled (tonnes) </t>
  </si>
  <si>
    <t>Re-Sold (%)</t>
  </si>
  <si>
    <t>Product sold - free-standing OPE (units)</t>
  </si>
  <si>
    <t>Return Location Type</t>
  </si>
  <si>
    <t>BDL Authorized Depots</t>
  </si>
  <si>
    <t>Licensee Retail Stores</t>
  </si>
  <si>
    <t>Government Liquor Stores</t>
  </si>
  <si>
    <t>Rural Agency Locations</t>
  </si>
  <si>
    <t>Total Locations</t>
  </si>
  <si>
    <t>See table below</t>
  </si>
  <si>
    <t xml:space="preserve"> Alberni-Clayoquot </t>
  </si>
  <si>
    <r>
      <t>Green House Gas Avoidance (kg CO</t>
    </r>
    <r>
      <rPr>
        <i/>
        <vertAlign val="subscript"/>
        <sz val="12"/>
        <color theme="1"/>
        <rFont val="Calibri"/>
        <family val="2"/>
        <scheme val="minor"/>
      </rPr>
      <t>2</t>
    </r>
    <r>
      <rPr>
        <i/>
        <sz val="12"/>
        <color theme="1"/>
        <rFont val="Calibri"/>
        <family val="2"/>
        <scheme val="minor"/>
      </rPr>
      <t>)</t>
    </r>
  </si>
  <si>
    <t>Used Oil - Absolute Collection (litres)-Per Person</t>
  </si>
  <si>
    <t xml:space="preserve">Fraser Valley </t>
  </si>
  <si>
    <t>Person Kitimat-Stikine</t>
  </si>
  <si>
    <t xml:space="preserve">Okanagan Similkameen </t>
  </si>
  <si>
    <t xml:space="preserve">Squamish-Lillooet </t>
  </si>
  <si>
    <t xml:space="preserve">Sunshine Coast </t>
  </si>
  <si>
    <t>Filtres - Absolute Collection (kg)-Per Person</t>
  </si>
  <si>
    <t>Containers - Absolute Collection (kg)-Per Person</t>
  </si>
  <si>
    <t>Antifreeze - Absolute Collection (kg)-Per Person</t>
  </si>
  <si>
    <t>Revenues</t>
  </si>
  <si>
    <t>Expenditures</t>
  </si>
  <si>
    <t>Encorp Pacific (CANADA) Beverage Container Stewardship Plan</t>
  </si>
  <si>
    <t>Tire Stewardship Plan for British Columbia</t>
  </si>
  <si>
    <t>CESA Product Stewardship Plan Part 1
CESA BC Product Stewardship Plan Part 2 – Phase V</t>
  </si>
  <si>
    <t>Shaw</t>
  </si>
  <si>
    <t>Canadian Beverage Association Stewardship Plan for Refrigeration Units</t>
  </si>
  <si>
    <t>GE Health Care</t>
  </si>
  <si>
    <t>Packaging and Printed Paper</t>
  </si>
  <si>
    <t>Multi-Material BC Packaging and Printed Paper Stewardship Plan</t>
  </si>
  <si>
    <t>Product Collected (tonnes)</t>
  </si>
  <si>
    <t>Total Sold</t>
  </si>
  <si>
    <t>Total Collected</t>
  </si>
  <si>
    <t>tonnage</t>
  </si>
  <si>
    <t>Depots collecting MMBC Products in 26 Regional Districts</t>
  </si>
  <si>
    <t>Recover Rate (percentage)</t>
  </si>
  <si>
    <t>Product Sold (tonnes)</t>
  </si>
  <si>
    <t>Recycled (tonnes)</t>
  </si>
  <si>
    <t>Disposal (tonnes)</t>
  </si>
  <si>
    <t>2014 (7.5 months)</t>
  </si>
  <si>
    <t>Province-wide</t>
  </si>
  <si>
    <t>Collection</t>
  </si>
  <si>
    <t>Material recycled per capita (kg)</t>
  </si>
  <si>
    <t>Total program cost (net) per tonne recovered</t>
  </si>
  <si>
    <t>Total program cost per household</t>
  </si>
  <si>
    <t>Persons in single &amp; multi-family receiving collection services</t>
  </si>
  <si>
    <t>Municipalities, First Nation, Electrol Areas with access to curbside and multi-family collection</t>
  </si>
  <si>
    <t>Tonnes of packaging and printed paper diverted from landfill:</t>
  </si>
  <si>
    <t>2014 (7 mons.)</t>
  </si>
  <si>
    <t>Financials</t>
  </si>
  <si>
    <t>nr</t>
  </si>
  <si>
    <t>Total # of Product Introduced and Distributed (units) Units removed from tracking system</t>
  </si>
  <si>
    <t>Recovery rate (collection rate 80%)</t>
  </si>
  <si>
    <t>Scrap tire diversion from the environment (plan commitment recovery rate 84%)</t>
  </si>
  <si>
    <t>Interstate Battery System of Canada (Program ended 2014.  Producer joined CBA)</t>
  </si>
  <si>
    <t>Canadian Battery Association (CBA)</t>
  </si>
  <si>
    <t>Estimates 2015</t>
  </si>
  <si>
    <t>Source:</t>
  </si>
  <si>
    <t>BC Population Estimates* Excludes Stikine</t>
  </si>
  <si>
    <t>Estimated Tonnes Collected</t>
  </si>
  <si>
    <t>BC Total</t>
  </si>
  <si>
    <t>Expenses-Collection, transportation and processing</t>
  </si>
  <si>
    <t>Population Per 2015 Municipal and Regional District Population estimates</t>
  </si>
  <si>
    <t>2010 data (.009) covers Comox-Strathcona</t>
  </si>
  <si>
    <t>2010 data (1007) covers Comox-Strathcona</t>
  </si>
  <si>
    <t>2007-2011 data (.0083,.0101,.0131,.0153,.026) for Comox-Strathcona</t>
  </si>
  <si>
    <t>Appendix 2: Absolute Collection by Regional District (2008-2015)</t>
  </si>
  <si>
    <t>2008-2011 Data for Comox-Strathcona</t>
  </si>
  <si>
    <t>data 495.56 covers Peace River and Northern Rockies</t>
  </si>
  <si>
    <t>This program does not have a visible fee at retail.  Program funded by Pharmacuetical industry.</t>
  </si>
  <si>
    <t>Last Updated: 9-Sept-2016</t>
  </si>
  <si>
    <t>Thermostat Recovery Program</t>
  </si>
  <si>
    <t>nr- not reported</t>
  </si>
  <si>
    <t>MARR Financials</t>
  </si>
  <si>
    <t>Revenue</t>
  </si>
  <si>
    <t>Product sold estimated (units)</t>
  </si>
  <si>
    <t xml:space="preserve"> Kitimat-Stikine</t>
  </si>
  <si>
    <t>Used Oil-Recoverable Litres (based on 30.1% Consumed-in-Use Rate)</t>
  </si>
  <si>
    <t>2014 kg per capita</t>
  </si>
  <si>
    <t>2015 kg per capita</t>
  </si>
  <si>
    <t>Encorp Pacific (CANADA)</t>
  </si>
  <si>
    <t>Health Products Assocation of Canada</t>
  </si>
  <si>
    <t xml:space="preserve">British Columbia Used Oil Management Association </t>
  </si>
  <si>
    <t xml:space="preserve">Canadian Battery Association </t>
  </si>
  <si>
    <t xml:space="preserve">Electronic Products Recycling Association (EPRA) </t>
  </si>
  <si>
    <t>Heating Refridgeration and Airconditioning Institute</t>
  </si>
  <si>
    <t>Outdoor Power Equipment Institute</t>
  </si>
  <si>
    <t xml:space="preserve">Telus Communications </t>
  </si>
  <si>
    <t xml:space="preserve"> Major Appliance Recycling Roundtable</t>
  </si>
  <si>
    <t xml:space="preserve">Canadian Beverage Association </t>
  </si>
  <si>
    <t xml:space="preserve">Multi-Material BC </t>
  </si>
  <si>
    <t>Producer Responsibility Organizations</t>
  </si>
  <si>
    <t>Product Care Association British Columbia - Alarms</t>
  </si>
  <si>
    <t>Product Care Association British Columbia - Lighting</t>
  </si>
  <si>
    <t>Canadian Electrical Stewardship Association</t>
  </si>
  <si>
    <t xml:space="preserve">Canadian Wireless Telecommunications Association </t>
  </si>
  <si>
    <t>Product Care Association British Columbia - HHW</t>
  </si>
  <si>
    <t>Expenditure</t>
  </si>
  <si>
    <t>Surplus/Deficit</t>
  </si>
  <si>
    <t>Tonnes Collected</t>
  </si>
  <si>
    <t>$/tonne Collection</t>
  </si>
  <si>
    <t>$/Litre Collection</t>
  </si>
  <si>
    <t>n/r</t>
  </si>
  <si>
    <t xml:space="preserve">Brewers Recycling Container Collection Council </t>
  </si>
  <si>
    <t>(2014 BDL)</t>
  </si>
  <si>
    <t>Provincial Diversion</t>
  </si>
  <si>
    <t>No Reported Information</t>
  </si>
  <si>
    <t>HRAI - thermostats</t>
  </si>
  <si>
    <t>Outdoor Power Equipment Institute's Stewardship (Plan managed by Product Care)</t>
  </si>
  <si>
    <t>Smoke and Carbon Monoxide Alarm Stewardship (Plan managed by Product Care)</t>
  </si>
  <si>
    <t>Product Care Association British Columbia Product Stewardship Plan for Paint - HHW</t>
  </si>
  <si>
    <t>Canadian Battery Association Stewardship Plan + Interstate Battery System of Canada Plan (only 2014 data)</t>
  </si>
  <si>
    <t>Litres Oil and Antifreeze Collected</t>
  </si>
  <si>
    <t>No Eco Collected/Financials not required to be reported under Recycling Regulation</t>
  </si>
  <si>
    <t>2014 Material Collected (Tonnes)</t>
  </si>
  <si>
    <t>2015 Material Collected (Tonnes)</t>
  </si>
  <si>
    <t>Estimate 0.2kg per unit</t>
  </si>
  <si>
    <t>Product collected  (kg)- all initiatives</t>
  </si>
  <si>
    <t>British Columbia Used Oil Management Association Stewardship Plan for used oil, antifreeze, oil filters and oil and antifreeze containers (reporting only container weight)</t>
  </si>
  <si>
    <t>Extended Producer Responsibility Programs Annual Report Data Reported</t>
  </si>
  <si>
    <t>2016 kg per capita</t>
  </si>
  <si>
    <t>Pharmaceuticals Product Category (2007-2016)</t>
  </si>
  <si>
    <t>Encorp</t>
  </si>
  <si>
    <t>Recovery Rate (%)  Regulation Target 75%</t>
  </si>
  <si>
    <t>Estimates 2016</t>
  </si>
  <si>
    <t>2016 Material Collected (Tonnes)</t>
  </si>
  <si>
    <t>Electronics Stewardship Association of BC (ESABC) / Electronic Product Recycling Association (EPRA)</t>
  </si>
  <si>
    <t>Units Sold-Display Devices (Monitors and TVs)</t>
  </si>
  <si>
    <t>Units Sold-Computers</t>
  </si>
  <si>
    <t>Units Sold-Desktop Printers/Fax Machines</t>
  </si>
  <si>
    <t>Electronic Waste Collected (Tonnes)</t>
  </si>
  <si>
    <t>Total Weight-Display Devices (%)</t>
  </si>
  <si>
    <t>Total Weight-CPUs (%)</t>
  </si>
  <si>
    <t>Total Weight-Peripherals (%)</t>
  </si>
  <si>
    <t>Units collected</t>
  </si>
  <si>
    <t>Last Updated: Oct 20, 2017</t>
  </si>
  <si>
    <t>Used Lubricating Oil, Filters and Containers (2003-2016)</t>
  </si>
  <si>
    <t>0 .73</t>
  </si>
  <si>
    <t>0 .71</t>
  </si>
  <si>
    <t>0 .28</t>
  </si>
  <si>
    <t>0 .79</t>
  </si>
  <si>
    <t>0 .36</t>
  </si>
  <si>
    <t>0 .56</t>
  </si>
  <si>
    <t>0 .51</t>
  </si>
  <si>
    <t>0 .53</t>
  </si>
  <si>
    <t>0 .22</t>
  </si>
  <si>
    <t>1 .12</t>
  </si>
  <si>
    <t>0 .69</t>
  </si>
  <si>
    <t>0 .39</t>
  </si>
  <si>
    <t>3 .61</t>
  </si>
  <si>
    <t>1 .35</t>
  </si>
  <si>
    <t>0 .63</t>
  </si>
  <si>
    <t>1 3.81</t>
  </si>
  <si>
    <t>1 5.32</t>
  </si>
  <si>
    <t>7 .76</t>
  </si>
  <si>
    <t>1 6.15</t>
  </si>
  <si>
    <t>1 7.97</t>
  </si>
  <si>
    <t>2 1.54</t>
  </si>
  <si>
    <t>1 1.93</t>
  </si>
  <si>
    <t>1 5.54</t>
  </si>
  <si>
    <t>8 .02</t>
  </si>
  <si>
    <t>2 2.79</t>
  </si>
  <si>
    <t>1 8.50</t>
  </si>
  <si>
    <t>9 .23</t>
  </si>
  <si>
    <t>6 5.52</t>
  </si>
  <si>
    <t>1 1.72</t>
  </si>
  <si>
    <t>Last Updated: 20-October-2017</t>
  </si>
  <si>
    <t>Last Updated: 20-Oct-2017</t>
  </si>
  <si>
    <t>Population Per 2016 Municipal and Regional District Population estimates</t>
  </si>
  <si>
    <t xml:space="preserve"> </t>
  </si>
  <si>
    <t>Tires Product Category (2007-2017)</t>
  </si>
  <si>
    <t>Notes: 2017 Data</t>
  </si>
  <si>
    <t>Depot return location increased</t>
  </si>
  <si>
    <t>Recovery rate went down</t>
  </si>
  <si>
    <t>No explanation provided rationalizes why recovery rate dropped when depots increased.</t>
  </si>
  <si>
    <t>Section 8(2)c</t>
  </si>
  <si>
    <t>Information provide does not appear to be relevant!</t>
  </si>
  <si>
    <t>Per Capita provincial number not provided</t>
  </si>
  <si>
    <t>Lead Acid Batteries Product Category (2012-2017)</t>
  </si>
  <si>
    <t>Electronics Product Category (2007-2017)</t>
  </si>
  <si>
    <t xml:space="preserve">     Communications </t>
  </si>
  <si>
    <t xml:space="preserve">      Program Administration</t>
  </si>
  <si>
    <t xml:space="preserve">     Research and Studies</t>
  </si>
  <si>
    <t>Excess of revenues over expenses for the year</t>
  </si>
  <si>
    <t>Estimated Tonnes Collected local government</t>
  </si>
  <si>
    <t>Estimated Tonnes Collected l(Other: Bounty, Retailers, Refurbishers &amp;Scavengers)</t>
  </si>
  <si>
    <t>Estimates 2017</t>
  </si>
  <si>
    <t>Appendix 1: Encorp Pacific (Canada) Absolute Collection by Regional District (2006-2017)</t>
  </si>
  <si>
    <t>Appendix 2: Brewers Distributor Ltd. Absolute Collection by Regional District (2006-2017)</t>
  </si>
  <si>
    <t>Paints and Solvents &amp; Flammable Liquids, Gasoline &amp; Pesticides Product Categories (2000-2017)</t>
  </si>
  <si>
    <t>Absolute Collection-Total Tubskids of all Materials-Okanagan Similkameen</t>
  </si>
  <si>
    <t>not reported</t>
  </si>
  <si>
    <t>Demographic Analysis Section, BC Stats</t>
  </si>
  <si>
    <t>Ministry of Job, Trade and Technology</t>
  </si>
  <si>
    <t>Government of British Columbia</t>
  </si>
  <si>
    <t>Dec, 2018</t>
  </si>
  <si>
    <t>RD = Regional District, R = Region, RDR = Regional District Unincorporated Area, IGD = Indian Government District,</t>
  </si>
  <si>
    <t>C = City, T = Town, VL = Village, DM = District Municipality, IM = Island Municipality, RGM = Regional Municipality.</t>
  </si>
  <si>
    <t>SGC = Standard Geographical Classification</t>
  </si>
  <si>
    <t>Metro Vancouver Regional District (15000) was formerly Greater Vancouver Regional District.</t>
  </si>
  <si>
    <t>Qathet Regional District (27000) was formerly Powell River Regional District.</t>
  </si>
  <si>
    <t>North Coast Regional District (47000) was formerly Skeena-Queen Charlotte Regional District.</t>
  </si>
  <si>
    <t>Jumbo Glacier Mountain Resort Municipality has no population throughout the report period.</t>
  </si>
  <si>
    <t>All figures correspond to municipal boundaries as of July 1st of the year stated.</t>
  </si>
  <si>
    <t>All figures are as of July 1st of the year stated.</t>
  </si>
  <si>
    <t>Absolute Collection-Tubskids of all Materials Per Person- BC Average</t>
  </si>
  <si>
    <t>Last Updated: Feb 8, 2019</t>
  </si>
  <si>
    <t>Recycle BC</t>
  </si>
  <si>
    <t>Major Appliance Recycling Roundtable</t>
  </si>
  <si>
    <t>News Print Canada</t>
  </si>
  <si>
    <t>Return to Retail</t>
  </si>
  <si>
    <t>Total</t>
  </si>
  <si>
    <t>ICI</t>
  </si>
  <si>
    <t>Comments</t>
  </si>
  <si>
    <t>Households with Service</t>
  </si>
  <si>
    <t>1.8 M</t>
  </si>
  <si>
    <t>Special Collection Events 2017</t>
  </si>
  <si>
    <t>PMs Suggestions</t>
  </si>
  <si>
    <t># financial contracts with depot operators</t>
  </si>
  <si>
    <t>Total financial value of contracts</t>
  </si>
  <si>
    <t>Contracted/Agreement</t>
  </si>
  <si>
    <t>Non-contracted sites</t>
  </si>
  <si>
    <t>Contract with Encorp</t>
  </si>
  <si>
    <t>Contract with PCA</t>
  </si>
  <si>
    <t>Collection Sites/Depots</t>
  </si>
  <si>
    <t>Auto Service Locations</t>
  </si>
  <si>
    <t>Agreements</t>
  </si>
  <si>
    <t>RecycleMycell (CWTA)</t>
  </si>
  <si>
    <t>Courier Return</t>
  </si>
  <si>
    <t>Service provided by RBC</t>
  </si>
  <si>
    <t>2017 kg per capita</t>
  </si>
  <si>
    <t xml:space="preserve">Significant Change </t>
  </si>
  <si>
    <t>Significant Change</t>
  </si>
  <si>
    <t>Data input complete Mar 5, 2019</t>
  </si>
  <si>
    <t>BC Popoulation Total</t>
  </si>
  <si>
    <t>Data input completed Mar 6, 2019</t>
  </si>
  <si>
    <t>0.2kg/cell unit</t>
  </si>
  <si>
    <t xml:space="preserve">Plastic component recycled (kg) Reported </t>
  </si>
  <si>
    <t>3,280 mercury thermostats; 467 loose vessels (467/1.4 = 334 equivalent mercury thermostats); Total: 3,614</t>
  </si>
  <si>
    <t>2,737 intact mercury thermostats; 1,016 loose vessels (1,016/1.4 = 726 equivalent mercury thermostats); Adjusted Total: 3,463</t>
  </si>
  <si>
    <t>GE Healthcare (Program joined ERPA)</t>
  </si>
  <si>
    <t>BC total</t>
  </si>
  <si>
    <t>yellow highlights error in report</t>
  </si>
  <si>
    <t>Provincial Total adjust</t>
  </si>
  <si>
    <t>17,820,964*</t>
  </si>
  <si>
    <t>Regional Districts</t>
  </si>
  <si>
    <t xml:space="preserve"> Estimates</t>
  </si>
  <si>
    <t>Note: Population stats are estimates and are continuely updated by BC Stats.  Updating of per capita number vary slightly between annual report population estimates and those acquired from the BC Stats Website.</t>
  </si>
  <si>
    <t>committed for 2018</t>
  </si>
  <si>
    <t>Data input completed Mar 26, 2019</t>
  </si>
  <si>
    <t>2017 Material Collected (Tonnes)</t>
  </si>
  <si>
    <t>Schedule 1 - Beverage Containers</t>
  </si>
  <si>
    <t>Brewers Recycling</t>
  </si>
  <si>
    <t>Schedule 2 - Residuals</t>
  </si>
  <si>
    <t>Schedule 3 - Electronics &amp; Electrical</t>
  </si>
  <si>
    <t xml:space="preserve">Call2Recycle
</t>
  </si>
  <si>
    <t>Major Appliance Recycling Round Table</t>
  </si>
  <si>
    <t>Telus</t>
  </si>
  <si>
    <t>Schedule 4 - Tires</t>
  </si>
  <si>
    <t>Schedule 5 - Packaging and Printed Paper</t>
  </si>
  <si>
    <t>Brewers Recycling (1st yr report 2017)</t>
  </si>
  <si>
    <t>News Media (1st yr report 2017)</t>
  </si>
  <si>
    <t>CWTA - Recycle my cell</t>
  </si>
  <si>
    <t>GE Health Care (Program Collapsed in EPRA)</t>
  </si>
  <si>
    <t>Newspapers</t>
  </si>
  <si>
    <t>n/r - not reported</t>
  </si>
  <si>
    <t>n/a not applicable</t>
  </si>
  <si>
    <t>Paint,Paint Aerosol Flammable Liquids, Pesticides (All HHW) Litres Collected</t>
  </si>
  <si>
    <t>All HHW Collected (Litres)</t>
  </si>
  <si>
    <t>Units Collected</t>
  </si>
  <si>
    <t>$/Unit Collection</t>
  </si>
  <si>
    <t>Product Care Association British Columbia - Lighting &amp; Bulbs</t>
  </si>
  <si>
    <t>Health Products Stewardship Association</t>
  </si>
  <si>
    <t>BC Lamp and Lighting Equipment (Fixtures Only)
Product Care</t>
  </si>
  <si>
    <t>Total Tonnes - 8 Programs Reporting Solid Residuals (CBA Battery,EPRA,LightRecycle,CESA,Call2Recycle,MARR,Shaw, Telus)</t>
  </si>
  <si>
    <t>Total Tonnes - 2 Programs Reporting Solid Residuals (HPSA&amp;BCUOMA)</t>
  </si>
  <si>
    <t>Total Tonnes - 2 Programs Reporting  Beverage Containers</t>
  </si>
  <si>
    <t>MMBC</t>
  </si>
  <si>
    <t>Multi-Material BC &amp; Recycle BC</t>
  </si>
  <si>
    <t>News Media Canada (started reporitng in 2017</t>
  </si>
  <si>
    <t>Newsprint Distributed in tonnes</t>
  </si>
  <si>
    <t>Newsprint Collected in tonnes by RBC</t>
  </si>
  <si>
    <t>Newsprint Recovery Rate (Collected/Distributed)</t>
  </si>
  <si>
    <t>Data input complete Mar 27, 2019</t>
  </si>
  <si>
    <t>Beverage Container Product Category 2000-2017</t>
  </si>
  <si>
    <t>BC Brewers Recycled Container Collection Council ( formally know as Brewers Distributor Ltd.) 2000-2017</t>
  </si>
  <si>
    <t>Note: Including All 22 Programs Estimated Revenues approximately $500 Million</t>
  </si>
  <si>
    <t>Recovery Rate (%) Avg 2 programs</t>
  </si>
  <si>
    <t>BRCCC (BLD)</t>
  </si>
  <si>
    <t>Units Moved Encorp &amp; BRCCC (BDL)</t>
  </si>
  <si>
    <t>Tonnes</t>
  </si>
  <si>
    <t>Collected</t>
  </si>
  <si>
    <t>Sold</t>
  </si>
  <si>
    <t>Litres</t>
  </si>
  <si>
    <t>Containers</t>
  </si>
  <si>
    <t>Kilograms</t>
  </si>
  <si>
    <t>Total #</t>
  </si>
  <si>
    <t xml:space="preserve">Total # </t>
  </si>
  <si>
    <t>#</t>
  </si>
  <si>
    <t>Total Electronics &amp; Electrical Reported (Tonnes)</t>
  </si>
  <si>
    <t>Equipment recovered in BC (Tonnes)*New 2017</t>
  </si>
  <si>
    <t>Total Program Product Collection Volumes (Tonnes) * New 2017</t>
  </si>
  <si>
    <t>Equipment diverted from landfill (Tonnes)</t>
  </si>
  <si>
    <t>Product collected  (Tonnes)- all initiatives</t>
  </si>
  <si>
    <t>Total Absolute Collection (Tonnes) in Annual Report</t>
  </si>
  <si>
    <t>Regular products collected (Tonnes)</t>
  </si>
  <si>
    <t>Batteries collected (Tonnes) - Total</t>
  </si>
  <si>
    <t>Total todate</t>
  </si>
  <si>
    <t>2007-2017 Tally</t>
  </si>
  <si>
    <t>Key Performance Measures</t>
  </si>
  <si>
    <t>Brewers Recycled Container Collection Council</t>
  </si>
  <si>
    <t>Packaging Distributed in tonnes</t>
  </si>
  <si>
    <t>Packaging Collected in tonnes by RBC</t>
  </si>
  <si>
    <t>Packaging Recovery Rate (Collected/Distributed)</t>
  </si>
  <si>
    <t>Total PPP (RBC+BRCCC+News Media Canada)</t>
  </si>
  <si>
    <t>Total Deposits Charged (Encorp &amp; BDL (BRCCC)</t>
  </si>
  <si>
    <t>Total Deposits Refunded (Encorp &amp; BDL (BRCCC)</t>
  </si>
  <si>
    <t>Total Unredeemed Deposits (Encorp &amp; BDL (BRCCC)</t>
  </si>
  <si>
    <t>Total deposits collected Encorp</t>
  </si>
  <si>
    <t>Total deposits refunded Encorp</t>
  </si>
  <si>
    <t>Total reported revenues - Encorp</t>
  </si>
  <si>
    <t>Total reported expenditure* - Encorp</t>
  </si>
  <si>
    <t>Total reported expenditure - excluding deposits refunded* - Encorp</t>
  </si>
  <si>
    <t>Total reported expenditure - excluding deposit refunds*</t>
  </si>
  <si>
    <t>Total Revenue</t>
  </si>
  <si>
    <t>Measure</t>
  </si>
  <si>
    <t>Regional_District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</si>
</sst>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Red]\-&quot;$&quot;#,##0"/>
    <numFmt numFmtId="44" formatCode="_-&quot;$&quot;* #,##0.00_-;\-&quot;$&quot;* #,##0.00_-;_-&quot;$&quot;* &quot;-&quot;??_-;_-@_-"/>
    <numFmt numFmtId="43" formatCode="_-* #,##0.00_-;\-* #,##0.00_-;_-* &quot;-&quot;??_-;_-@_-"/>
    <numFmt numFmtId="164" formatCode="&quot;$&quot;#,##0"/>
    <numFmt numFmtId="165" formatCode="_-* #,##0_-;\-* #,##0_-;_-* &quot;-&quot;??_-;_-@_-"/>
    <numFmt numFmtId="166" formatCode="#,##0.0000"/>
    <numFmt numFmtId="167" formatCode="#,##0.00_ ;\-#,##0.00\ "/>
    <numFmt numFmtId="168" formatCode="0.000"/>
    <numFmt numFmtId="169" formatCode="0.0%"/>
    <numFmt numFmtId="170" formatCode="#,##0.0"/>
    <numFmt numFmtId="171" formatCode="#,##0_ ;\-#,##0\ "/>
    <numFmt numFmtId="172" formatCode="0.0"/>
    <numFmt numFmtId="173" formatCode="_-&quot;$&quot;* #,##0_-;\-&quot;$&quot;* #,##0_-;_-&quot;$&quot;* &quot;-&quot;??_-;_-@_-"/>
    <numFmt numFmtId="174" formatCode="mmm/yyyy"/>
    <numFmt numFmtId="175" formatCode="0.000%"/>
    <numFmt numFmtId="176" formatCode="_-* #,##0.000_-;\-* #,##0.000_-;_-* &quot;-&quot;??_-;_-@_-"/>
  </numFmts>
  <fonts count="48" x14ac:knownFonts="1">
    <font>
      <sz val="11"/>
      <color theme="1"/>
      <name val="Calibri"/>
      <family val="2"/>
      <scheme val="minor"/>
    </font>
    <font>
      <sz val="12"/>
      <color theme="1"/>
      <name val="Calibri"/>
      <family val="2"/>
      <scheme val="minor"/>
    </font>
    <font>
      <sz val="12"/>
      <color theme="1"/>
      <name val="Calibri"/>
      <family val="2"/>
      <scheme val="minor"/>
    </font>
    <font>
      <b/>
      <i/>
      <sz val="11"/>
      <color theme="1"/>
      <name val="Calibri"/>
      <family val="2"/>
      <scheme val="minor"/>
    </font>
    <font>
      <i/>
      <sz val="11"/>
      <color theme="1"/>
      <name val="Calibri"/>
      <family val="2"/>
      <scheme val="minor"/>
    </font>
    <font>
      <b/>
      <i/>
      <u/>
      <sz val="11"/>
      <color theme="1"/>
      <name val="Calibri"/>
      <family val="2"/>
      <scheme val="minor"/>
    </font>
    <font>
      <b/>
      <sz val="36"/>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b/>
      <sz val="22"/>
      <color theme="1"/>
      <name val="Calibri"/>
      <family val="2"/>
      <scheme val="minor"/>
    </font>
    <font>
      <b/>
      <i/>
      <sz val="18"/>
      <color theme="1"/>
      <name val="Calibri"/>
      <family val="2"/>
      <scheme val="minor"/>
    </font>
    <font>
      <b/>
      <u/>
      <sz val="11"/>
      <color theme="1"/>
      <name val="Calibri"/>
      <family val="2"/>
      <scheme val="minor"/>
    </font>
    <font>
      <b/>
      <sz val="28"/>
      <color theme="1"/>
      <name val="Calibri"/>
      <family val="2"/>
      <scheme val="minor"/>
    </font>
    <font>
      <b/>
      <sz val="24"/>
      <color theme="1"/>
      <name val="Calibri"/>
      <family val="2"/>
      <scheme val="minor"/>
    </font>
    <font>
      <b/>
      <sz val="16"/>
      <color theme="0" tint="-0.14999847407452621"/>
      <name val="Calibri"/>
      <family val="2"/>
      <scheme val="minor"/>
    </font>
    <font>
      <b/>
      <sz val="18"/>
      <color theme="0" tint="-0.14999847407452621"/>
      <name val="Calibri"/>
      <family val="2"/>
      <scheme val="minor"/>
    </font>
    <font>
      <b/>
      <sz val="12"/>
      <color theme="1"/>
      <name val="Calibri"/>
      <family val="2"/>
      <scheme val="minor"/>
    </font>
    <font>
      <b/>
      <sz val="22"/>
      <color theme="0" tint="-0.14999847407452621"/>
      <name val="Calibri"/>
      <family val="2"/>
      <scheme val="minor"/>
    </font>
    <font>
      <b/>
      <i/>
      <sz val="12"/>
      <color theme="1"/>
      <name val="Calibri"/>
      <family val="2"/>
      <scheme val="minor"/>
    </font>
    <font>
      <b/>
      <sz val="26"/>
      <color theme="1"/>
      <name val="Calibri"/>
      <family val="2"/>
      <scheme val="minor"/>
    </font>
    <font>
      <b/>
      <sz val="18"/>
      <color theme="1"/>
      <name val="Calibri"/>
      <family val="2"/>
      <scheme val="minor"/>
    </font>
    <font>
      <b/>
      <sz val="20"/>
      <color theme="1"/>
      <name val="Calibri"/>
      <family val="2"/>
      <scheme val="minor"/>
    </font>
    <font>
      <b/>
      <sz val="16"/>
      <color theme="1"/>
      <name val="Calibri"/>
      <family val="2"/>
      <scheme val="minor"/>
    </font>
    <font>
      <b/>
      <u/>
      <sz val="12"/>
      <color theme="1"/>
      <name val="Calibri"/>
      <family val="2"/>
      <scheme val="minor"/>
    </font>
    <font>
      <u/>
      <sz val="12"/>
      <color theme="1"/>
      <name val="Calibri"/>
      <family val="2"/>
      <scheme val="minor"/>
    </font>
    <font>
      <sz val="12"/>
      <color theme="1"/>
      <name val="Calibri"/>
      <family val="2"/>
      <scheme val="minor"/>
    </font>
    <font>
      <b/>
      <sz val="11"/>
      <color rgb="FFFF0000"/>
      <name val="Calibri"/>
      <family val="2"/>
      <scheme val="minor"/>
    </font>
    <font>
      <sz val="11"/>
      <name val="Calibri"/>
      <family val="2"/>
      <scheme val="minor"/>
    </font>
    <font>
      <b/>
      <sz val="11"/>
      <name val="Calibri"/>
      <family val="2"/>
      <scheme val="minor"/>
    </font>
    <font>
      <b/>
      <sz val="11"/>
      <color rgb="FF000000"/>
      <name val="Calibri"/>
      <family val="2"/>
      <scheme val="minor"/>
    </font>
    <font>
      <b/>
      <sz val="16"/>
      <name val="Arial"/>
      <family val="2"/>
    </font>
    <font>
      <b/>
      <sz val="10"/>
      <name val="Arial"/>
      <family val="2"/>
    </font>
    <font>
      <b/>
      <sz val="12"/>
      <name val="Arial"/>
      <family val="2"/>
    </font>
    <font>
      <b/>
      <i/>
      <u/>
      <sz val="12"/>
      <color theme="1"/>
      <name val="Calibri"/>
      <family val="2"/>
      <scheme val="minor"/>
    </font>
    <font>
      <i/>
      <sz val="12"/>
      <color theme="1"/>
      <name val="Calibri"/>
      <family val="2"/>
      <scheme val="minor"/>
    </font>
    <font>
      <sz val="12"/>
      <color rgb="FFFF0000"/>
      <name val="Calibri"/>
      <family val="2"/>
      <scheme val="minor"/>
    </font>
    <font>
      <i/>
      <vertAlign val="subscript"/>
      <sz val="12"/>
      <color theme="1"/>
      <name val="Calibri"/>
      <family val="2"/>
      <scheme val="minor"/>
    </font>
    <font>
      <sz val="11"/>
      <color rgb="FF9C6500"/>
      <name val="Calibri"/>
      <family val="2"/>
      <scheme val="minor"/>
    </font>
    <font>
      <sz val="12"/>
      <color theme="1"/>
      <name val="Times New Roman"/>
      <family val="1"/>
    </font>
    <font>
      <b/>
      <sz val="12"/>
      <color theme="1"/>
      <name val="Arial"/>
      <family val="2"/>
    </font>
    <font>
      <b/>
      <sz val="14"/>
      <name val="Arial"/>
      <family val="2"/>
    </font>
    <font>
      <sz val="12"/>
      <name val="Arial"/>
      <family val="2"/>
    </font>
    <font>
      <i/>
      <sz val="11"/>
      <name val="Arial"/>
      <family val="2"/>
    </font>
    <font>
      <i/>
      <sz val="10"/>
      <name val="Arial"/>
      <family val="2"/>
    </font>
    <font>
      <sz val="11"/>
      <color theme="0" tint="-0.14999847407452621"/>
      <name val="Calibri"/>
      <family val="2"/>
      <scheme val="minor"/>
    </font>
    <font>
      <b/>
      <sz val="11"/>
      <color rgb="FFFA7D00"/>
      <name val="Calibri"/>
      <family val="2"/>
      <scheme val="minor"/>
    </font>
  </fonts>
  <fills count="2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rgb="FFF2F2F2"/>
        <bgColor indexed="64"/>
      </patternFill>
    </fill>
    <fill>
      <patternFill patternType="solid">
        <fgColor rgb="FFDCE6F1"/>
        <bgColor indexed="64"/>
      </patternFill>
    </fill>
    <fill>
      <patternFill patternType="solid">
        <fgColor rgb="FFB8CCE4"/>
        <bgColor indexed="64"/>
      </patternFill>
    </fill>
    <fill>
      <patternFill patternType="solid">
        <fgColor theme="9" tint="0.39997558519241921"/>
        <bgColor indexed="64"/>
      </patternFill>
    </fill>
    <fill>
      <patternFill patternType="solid">
        <fgColor theme="9"/>
        <bgColor indexed="64"/>
      </patternFill>
    </fill>
    <fill>
      <patternFill patternType="solid">
        <fgColor theme="0" tint="-0.249977111117893"/>
        <bgColor indexed="64"/>
      </patternFill>
    </fill>
    <fill>
      <patternFill patternType="solid">
        <fgColor theme="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14996795556505021"/>
        <bgColor indexed="64"/>
      </patternFill>
    </fill>
    <fill>
      <patternFill patternType="solid">
        <fgColor rgb="FFFFEB9C"/>
      </patternFill>
    </fill>
    <fill>
      <patternFill patternType="solid">
        <fgColor theme="9" tint="-0.249977111117893"/>
        <bgColor indexed="64"/>
      </patternFill>
    </fill>
    <fill>
      <patternFill patternType="solid">
        <fgColor rgb="FFFF000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rgb="FFF2F2F2"/>
      </patternFill>
    </fill>
  </fills>
  <borders count="3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top/>
      <bottom style="medium">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medium">
        <color rgb="FFAAAAAA"/>
      </left>
      <right style="medium">
        <color rgb="FFAAAAAA"/>
      </right>
      <top/>
      <bottom/>
      <diagonal/>
    </border>
    <border>
      <left style="medium">
        <color rgb="FFAAAAAA"/>
      </left>
      <right style="medium">
        <color rgb="FFAAAAAA"/>
      </right>
      <top/>
      <bottom style="medium">
        <color rgb="FFAAAAAA"/>
      </bottom>
      <diagonal/>
    </border>
    <border>
      <left style="medium">
        <color rgb="FFAAAAAA"/>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style="medium">
        <color indexed="64"/>
      </bottom>
      <diagonal/>
    </border>
    <border>
      <left style="medium">
        <color rgb="FFAAAAAA"/>
      </left>
      <right style="medium">
        <color rgb="FFAAAAAA"/>
      </right>
      <top/>
      <bottom style="medium">
        <color indexed="64"/>
      </bottom>
      <diagonal/>
    </border>
    <border>
      <left/>
      <right/>
      <top/>
      <bottom style="double">
        <color indexed="64"/>
      </bottom>
      <diagonal/>
    </border>
    <border>
      <left/>
      <right/>
      <top style="double">
        <color indexed="64"/>
      </top>
      <bottom style="medium">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medium">
        <color rgb="FF000000"/>
      </top>
      <bottom/>
      <diagonal/>
    </border>
    <border>
      <left/>
      <right/>
      <top/>
      <bottom style="medium">
        <color rgb="FF000000"/>
      </bottom>
      <diagonal/>
    </border>
    <border>
      <left/>
      <right/>
      <top style="thin">
        <color indexed="64"/>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rgb="FF7F7F7F"/>
      </left>
      <right style="thin">
        <color rgb="FF7F7F7F"/>
      </right>
      <top style="thin">
        <color rgb="FF7F7F7F"/>
      </top>
      <bottom style="thin">
        <color rgb="FF7F7F7F"/>
      </bottom>
      <diagonal/>
    </border>
  </borders>
  <cellStyleXfs count="8">
    <xf numFmtId="0" fontId="0" fillId="0" borderId="0"/>
    <xf numFmtId="43" fontId="7" fillId="0" borderId="0" applyFon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4" fontId="7" fillId="0" borderId="0" applyFont="0" applyFill="0" applyBorder="0" applyAlignment="0" applyProtection="0"/>
    <xf numFmtId="0" fontId="39" fillId="21" borderId="0" applyNumberFormat="0" applyBorder="0" applyAlignment="0" applyProtection="0"/>
    <xf numFmtId="0" fontId="7" fillId="0" borderId="0"/>
    <xf numFmtId="0" fontId="47" fillId="28" borderId="29" applyNumberFormat="0" applyAlignment="0" applyProtection="0"/>
  </cellStyleXfs>
  <cellXfs count="747">
    <xf numFmtId="0" fontId="0" fillId="0" borderId="0" xfId="0"/>
    <xf numFmtId="10" fontId="0" fillId="0" borderId="0" xfId="0" applyNumberFormat="1"/>
    <xf numFmtId="3" fontId="0" fillId="0" borderId="0" xfId="0" applyNumberFormat="1"/>
    <xf numFmtId="0" fontId="3" fillId="2" borderId="0" xfId="0" applyFont="1" applyFill="1"/>
    <xf numFmtId="6" fontId="0" fillId="0" borderId="0" xfId="0" applyNumberFormat="1"/>
    <xf numFmtId="0" fontId="0" fillId="2" borderId="0" xfId="0" applyFill="1"/>
    <xf numFmtId="0" fontId="0" fillId="0" borderId="0" xfId="0" applyFill="1"/>
    <xf numFmtId="3" fontId="0" fillId="0" borderId="0" xfId="0" applyNumberFormat="1" applyFill="1"/>
    <xf numFmtId="164" fontId="0" fillId="0" borderId="0" xfId="0" applyNumberFormat="1"/>
    <xf numFmtId="0" fontId="4" fillId="0" borderId="0" xfId="0" applyFont="1" applyFill="1"/>
    <xf numFmtId="0" fontId="0" fillId="0" borderId="0" xfId="0" applyFont="1" applyFill="1"/>
    <xf numFmtId="0" fontId="5" fillId="3" borderId="0" xfId="0" applyFont="1" applyFill="1"/>
    <xf numFmtId="0" fontId="0" fillId="3" borderId="0" xfId="0" applyFill="1"/>
    <xf numFmtId="0" fontId="0" fillId="0" borderId="0" xfId="0" applyBorder="1" applyAlignment="1">
      <alignment horizontal="center"/>
    </xf>
    <xf numFmtId="3" fontId="0" fillId="0" borderId="0" xfId="0" applyNumberFormat="1" applyFont="1" applyFill="1"/>
    <xf numFmtId="9" fontId="0" fillId="0" borderId="0" xfId="0" applyNumberFormat="1" applyFill="1"/>
    <xf numFmtId="10" fontId="0" fillId="0" borderId="0" xfId="0" applyNumberFormat="1" applyFill="1"/>
    <xf numFmtId="9" fontId="0" fillId="0" borderId="0" xfId="0" applyNumberFormat="1"/>
    <xf numFmtId="165" fontId="10" fillId="0" borderId="0" xfId="1" applyNumberFormat="1" applyFont="1" applyFill="1" applyBorder="1" applyAlignment="1">
      <alignment horizontal="right"/>
    </xf>
    <xf numFmtId="0" fontId="0" fillId="4" borderId="0" xfId="0" applyFont="1" applyFill="1"/>
    <xf numFmtId="3" fontId="0" fillId="4" borderId="0" xfId="0" applyNumberFormat="1" applyFont="1" applyFill="1"/>
    <xf numFmtId="0" fontId="0" fillId="3" borderId="0" xfId="0" applyFont="1" applyFill="1"/>
    <xf numFmtId="3" fontId="0" fillId="4" borderId="0" xfId="0" applyNumberFormat="1" applyFill="1"/>
    <xf numFmtId="0" fontId="9" fillId="0" borderId="0" xfId="0" applyFont="1"/>
    <xf numFmtId="0" fontId="0" fillId="0" borderId="0" xfId="0" applyFont="1"/>
    <xf numFmtId="3" fontId="0" fillId="0" borderId="0" xfId="0" applyNumberFormat="1" applyFont="1"/>
    <xf numFmtId="166" fontId="0" fillId="4" borderId="0" xfId="0" applyNumberFormat="1" applyFont="1" applyFill="1"/>
    <xf numFmtId="0" fontId="4" fillId="0" borderId="4" xfId="0" applyFont="1" applyFill="1" applyBorder="1"/>
    <xf numFmtId="9" fontId="0" fillId="4" borderId="0" xfId="0" applyNumberFormat="1" applyFill="1"/>
    <xf numFmtId="10" fontId="0" fillId="4" borderId="0" xfId="0" applyNumberFormat="1" applyFill="1"/>
    <xf numFmtId="0" fontId="12" fillId="2" borderId="0" xfId="0" applyFont="1" applyFill="1"/>
    <xf numFmtId="9" fontId="0" fillId="3" borderId="0" xfId="0" applyNumberFormat="1" applyFill="1"/>
    <xf numFmtId="0" fontId="0" fillId="5" borderId="0" xfId="0" applyFill="1"/>
    <xf numFmtId="0" fontId="4" fillId="5" borderId="0" xfId="0" applyFont="1" applyFill="1"/>
    <xf numFmtId="0" fontId="4" fillId="0" borderId="0" xfId="0" applyFont="1" applyFill="1" applyBorder="1"/>
    <xf numFmtId="0" fontId="4" fillId="4" borderId="0" xfId="0" applyFont="1" applyFill="1" applyBorder="1"/>
    <xf numFmtId="3" fontId="0" fillId="0" borderId="0" xfId="0" applyNumberFormat="1" applyFill="1" applyBorder="1"/>
    <xf numFmtId="1" fontId="0" fillId="0" borderId="0" xfId="0" applyNumberFormat="1" applyFont="1"/>
    <xf numFmtId="0" fontId="0" fillId="0" borderId="0" xfId="0" applyFont="1" applyFill="1" applyBorder="1" applyAlignment="1"/>
    <xf numFmtId="0" fontId="0" fillId="5" borderId="0" xfId="0" applyFont="1" applyFill="1"/>
    <xf numFmtId="2" fontId="0" fillId="0" borderId="0" xfId="0" applyNumberFormat="1" applyFont="1" applyFill="1"/>
    <xf numFmtId="6" fontId="0" fillId="0" borderId="0" xfId="0" applyNumberFormat="1" applyFont="1"/>
    <xf numFmtId="10" fontId="0" fillId="0" borderId="0" xfId="0" applyNumberFormat="1" applyFont="1"/>
    <xf numFmtId="0" fontId="13" fillId="3" borderId="0" xfId="0" applyFont="1" applyFill="1"/>
    <xf numFmtId="0" fontId="4" fillId="4" borderId="0" xfId="0" applyFont="1" applyFill="1"/>
    <xf numFmtId="0" fontId="4" fillId="4" borderId="4" xfId="0" applyFont="1" applyFill="1" applyBorder="1"/>
    <xf numFmtId="0" fontId="0" fillId="4" borderId="0" xfId="0" applyFill="1"/>
    <xf numFmtId="2" fontId="0" fillId="4" borderId="0" xfId="0" applyNumberFormat="1" applyFont="1" applyFill="1"/>
    <xf numFmtId="0" fontId="4" fillId="6" borderId="0" xfId="0" applyFont="1" applyFill="1"/>
    <xf numFmtId="0" fontId="4" fillId="6" borderId="4" xfId="0" applyFont="1" applyFill="1" applyBorder="1" applyAlignment="1">
      <alignment horizontal="left"/>
    </xf>
    <xf numFmtId="0" fontId="0" fillId="6" borderId="0" xfId="0" applyFont="1" applyFill="1"/>
    <xf numFmtId="2" fontId="0" fillId="6" borderId="0" xfId="0" applyNumberFormat="1" applyFont="1" applyFill="1"/>
    <xf numFmtId="0" fontId="0" fillId="0" borderId="0" xfId="0" applyBorder="1"/>
    <xf numFmtId="0" fontId="0" fillId="0" borderId="0" xfId="0" applyBorder="1" applyAlignment="1">
      <alignment horizontal="center"/>
    </xf>
    <xf numFmtId="0" fontId="0" fillId="0" borderId="0" xfId="0" applyBorder="1" applyAlignment="1"/>
    <xf numFmtId="0" fontId="14" fillId="0" borderId="0" xfId="0" applyFont="1" applyFill="1" applyBorder="1" applyAlignment="1">
      <alignment vertical="center"/>
    </xf>
    <xf numFmtId="0" fontId="6" fillId="0" borderId="0" xfId="0" applyFont="1" applyFill="1" applyBorder="1" applyAlignment="1">
      <alignment vertical="center"/>
    </xf>
    <xf numFmtId="164" fontId="8" fillId="0" borderId="0" xfId="0" applyNumberFormat="1" applyFont="1"/>
    <xf numFmtId="0" fontId="12" fillId="2" borderId="0" xfId="0" applyFont="1" applyFill="1" applyBorder="1"/>
    <xf numFmtId="0" fontId="4" fillId="0" borderId="4" xfId="0" applyFont="1" applyBorder="1"/>
    <xf numFmtId="10" fontId="0" fillId="0" borderId="0" xfId="0" applyNumberFormat="1" applyFont="1" applyFill="1"/>
    <xf numFmtId="166" fontId="0" fillId="0" borderId="0" xfId="0" applyNumberFormat="1" applyFont="1" applyFill="1"/>
    <xf numFmtId="166" fontId="0" fillId="4" borderId="0" xfId="0" applyNumberFormat="1" applyFill="1"/>
    <xf numFmtId="0" fontId="4" fillId="6" borderId="4" xfId="0" applyFont="1" applyFill="1" applyBorder="1"/>
    <xf numFmtId="166" fontId="0" fillId="6" borderId="0" xfId="0" applyNumberFormat="1" applyFont="1" applyFill="1"/>
    <xf numFmtId="0" fontId="16" fillId="7" borderId="0" xfId="0" applyFont="1" applyFill="1" applyAlignment="1">
      <alignment horizontal="right" vertical="center"/>
    </xf>
    <xf numFmtId="0" fontId="17" fillId="7" borderId="0" xfId="0" applyFont="1" applyFill="1" applyAlignment="1">
      <alignment horizontal="right" vertical="center"/>
    </xf>
    <xf numFmtId="3" fontId="0" fillId="5" borderId="0" xfId="0" applyNumberFormat="1" applyFill="1"/>
    <xf numFmtId="0" fontId="0" fillId="0" borderId="0" xfId="0" applyAlignment="1">
      <alignment vertical="center"/>
    </xf>
    <xf numFmtId="0" fontId="0" fillId="0" borderId="4" xfId="0" applyBorder="1" applyAlignment="1">
      <alignment vertical="center"/>
    </xf>
    <xf numFmtId="0" fontId="9" fillId="3" borderId="11" xfId="0" applyFont="1" applyFill="1" applyBorder="1" applyAlignment="1">
      <alignment vertical="center"/>
    </xf>
    <xf numFmtId="0" fontId="9" fillId="3" borderId="12" xfId="0" applyFont="1" applyFill="1" applyBorder="1" applyAlignment="1">
      <alignment vertical="center"/>
    </xf>
    <xf numFmtId="0" fontId="0" fillId="5" borderId="0" xfId="0" applyFill="1" applyAlignment="1">
      <alignment vertical="center"/>
    </xf>
    <xf numFmtId="9" fontId="0" fillId="5" borderId="0" xfId="0" applyNumberFormat="1" applyFill="1" applyAlignment="1">
      <alignment vertical="center"/>
    </xf>
    <xf numFmtId="9" fontId="0" fillId="5" borderId="0" xfId="0" applyNumberFormat="1" applyFill="1" applyBorder="1" applyAlignment="1">
      <alignment vertical="center"/>
    </xf>
    <xf numFmtId="0" fontId="0" fillId="2" borderId="0" xfId="0" applyFill="1" applyAlignment="1">
      <alignment vertical="center"/>
    </xf>
    <xf numFmtId="3" fontId="0" fillId="2" borderId="0" xfId="0" applyNumberFormat="1" applyFill="1" applyAlignment="1">
      <alignment vertical="center"/>
    </xf>
    <xf numFmtId="9" fontId="0" fillId="2" borderId="0" xfId="0" applyNumberFormat="1" applyFill="1" applyAlignment="1">
      <alignment vertical="center"/>
    </xf>
    <xf numFmtId="3" fontId="0" fillId="5" borderId="0" xfId="0" applyNumberFormat="1" applyFill="1" applyAlignment="1">
      <alignment vertical="center"/>
    </xf>
    <xf numFmtId="3" fontId="0" fillId="5" borderId="0" xfId="0" applyNumberFormat="1" applyFont="1" applyFill="1" applyAlignment="1">
      <alignment vertical="center"/>
    </xf>
    <xf numFmtId="0" fontId="0" fillId="0" borderId="0" xfId="0" applyAlignment="1">
      <alignment horizontal="right" vertical="center"/>
    </xf>
    <xf numFmtId="10" fontId="0" fillId="2" borderId="0" xfId="0" applyNumberFormat="1" applyFill="1" applyAlignment="1">
      <alignment vertical="center"/>
    </xf>
    <xf numFmtId="10" fontId="0" fillId="5" borderId="0" xfId="0" applyNumberFormat="1" applyFill="1" applyAlignment="1">
      <alignment vertical="center"/>
    </xf>
    <xf numFmtId="0" fontId="18" fillId="0" borderId="0" xfId="0" applyFont="1" applyFill="1" applyBorder="1" applyAlignment="1">
      <alignment horizontal="center" vertical="center"/>
    </xf>
    <xf numFmtId="0" fontId="0" fillId="0" borderId="4" xfId="0" applyFill="1" applyBorder="1" applyAlignment="1">
      <alignment vertical="center"/>
    </xf>
    <xf numFmtId="0" fontId="9" fillId="0" borderId="4" xfId="0" applyFont="1" applyFill="1" applyBorder="1" applyAlignment="1">
      <alignment vertical="center"/>
    </xf>
    <xf numFmtId="0" fontId="0" fillId="5" borderId="0" xfId="0" applyFill="1" applyBorder="1" applyAlignment="1">
      <alignment horizontal="right" vertical="center"/>
    </xf>
    <xf numFmtId="0" fontId="0" fillId="2" borderId="0" xfId="0" applyFill="1" applyBorder="1" applyAlignment="1">
      <alignment horizontal="right" vertical="center"/>
    </xf>
    <xf numFmtId="0" fontId="0" fillId="2" borderId="0" xfId="0" applyFill="1" applyAlignment="1">
      <alignment horizontal="right" vertical="center"/>
    </xf>
    <xf numFmtId="9" fontId="0" fillId="2" borderId="0" xfId="0" applyNumberFormat="1" applyFill="1" applyAlignment="1">
      <alignment horizontal="right" vertical="center"/>
    </xf>
    <xf numFmtId="9" fontId="0" fillId="5" borderId="0" xfId="0" applyNumberFormat="1" applyFill="1" applyAlignment="1">
      <alignment horizontal="right" vertical="center"/>
    </xf>
    <xf numFmtId="3" fontId="0" fillId="2" borderId="0" xfId="0" applyNumberFormat="1" applyFont="1" applyFill="1" applyAlignment="1">
      <alignment vertical="center"/>
    </xf>
    <xf numFmtId="0" fontId="0" fillId="0" borderId="0" xfId="0" applyBorder="1" applyAlignment="1">
      <alignment vertical="center"/>
    </xf>
    <xf numFmtId="0" fontId="20" fillId="0" borderId="0" xfId="0" applyFont="1" applyFill="1" applyBorder="1" applyAlignment="1">
      <alignment horizontal="center" vertical="center"/>
    </xf>
    <xf numFmtId="3" fontId="0" fillId="5" borderId="0" xfId="0" applyNumberFormat="1" applyFill="1" applyAlignment="1">
      <alignment horizontal="right" vertical="center"/>
    </xf>
    <xf numFmtId="3" fontId="0" fillId="2" borderId="0" xfId="0" applyNumberFormat="1" applyFill="1" applyAlignment="1">
      <alignment horizontal="right" vertical="center"/>
    </xf>
    <xf numFmtId="0" fontId="0" fillId="5" borderId="0" xfId="0" applyFill="1" applyAlignment="1">
      <alignment horizontal="right" vertical="center"/>
    </xf>
    <xf numFmtId="0" fontId="0" fillId="5" borderId="0" xfId="0" applyFont="1" applyFill="1" applyAlignment="1">
      <alignment vertical="center"/>
    </xf>
    <xf numFmtId="0" fontId="9" fillId="9" borderId="7" xfId="0" applyFont="1" applyFill="1" applyBorder="1" applyAlignment="1">
      <alignment horizontal="center" vertical="center"/>
    </xf>
    <xf numFmtId="0" fontId="9" fillId="5" borderId="0" xfId="0" applyFont="1" applyFill="1" applyBorder="1" applyAlignment="1">
      <alignment vertical="center"/>
    </xf>
    <xf numFmtId="3" fontId="0" fillId="0" borderId="0" xfId="0" applyNumberFormat="1" applyAlignment="1">
      <alignment horizontal="right" vertical="center"/>
    </xf>
    <xf numFmtId="0" fontId="0" fillId="0" borderId="0" xfId="0" applyFill="1" applyAlignment="1">
      <alignment vertical="center"/>
    </xf>
    <xf numFmtId="3" fontId="9" fillId="0" borderId="0" xfId="0" applyNumberFormat="1" applyFont="1" applyFill="1" applyAlignment="1">
      <alignment horizontal="center" vertical="center"/>
    </xf>
    <xf numFmtId="9" fontId="0" fillId="0" borderId="0" xfId="0" applyNumberFormat="1" applyFill="1" applyAlignment="1">
      <alignment vertical="center"/>
    </xf>
    <xf numFmtId="9" fontId="9" fillId="0" borderId="0" xfId="0" applyNumberFormat="1" applyFont="1" applyFill="1" applyAlignment="1">
      <alignment horizontal="center" vertical="center"/>
    </xf>
    <xf numFmtId="0" fontId="9" fillId="0" borderId="0" xfId="0" applyFont="1" applyFill="1" applyAlignment="1">
      <alignment vertical="center"/>
    </xf>
    <xf numFmtId="0" fontId="9" fillId="0" borderId="0" xfId="0" applyFont="1" applyFill="1" applyAlignment="1">
      <alignment horizontal="center" vertical="center"/>
    </xf>
    <xf numFmtId="0" fontId="18" fillId="5" borderId="0" xfId="0" applyFont="1" applyFill="1" applyAlignment="1">
      <alignment horizontal="right" vertical="center"/>
    </xf>
    <xf numFmtId="0" fontId="18" fillId="2" borderId="0" xfId="0" applyFont="1" applyFill="1" applyAlignment="1">
      <alignment horizontal="right" vertical="center"/>
    </xf>
    <xf numFmtId="0" fontId="18" fillId="0" borderId="0" xfId="0" applyFont="1" applyFill="1" applyAlignment="1">
      <alignment horizontal="right" vertical="center"/>
    </xf>
    <xf numFmtId="0" fontId="18" fillId="0" borderId="0" xfId="0" applyFont="1" applyFill="1" applyBorder="1" applyAlignment="1">
      <alignment horizontal="right" vertical="center"/>
    </xf>
    <xf numFmtId="0" fontId="18" fillId="5" borderId="0" xfId="0" applyFont="1" applyFill="1" applyBorder="1" applyAlignment="1">
      <alignment horizontal="right" vertical="center"/>
    </xf>
    <xf numFmtId="0" fontId="18" fillId="2" borderId="0" xfId="0" applyFont="1" applyFill="1" applyBorder="1" applyAlignment="1">
      <alignment horizontal="right" vertical="center"/>
    </xf>
    <xf numFmtId="0" fontId="0" fillId="5" borderId="0" xfId="0" applyFill="1" applyBorder="1" applyAlignment="1">
      <alignment vertical="center"/>
    </xf>
    <xf numFmtId="3" fontId="0" fillId="5" borderId="0" xfId="0" applyNumberFormat="1" applyFont="1" applyFill="1" applyBorder="1" applyAlignment="1">
      <alignment vertical="center"/>
    </xf>
    <xf numFmtId="0" fontId="27" fillId="0" borderId="0" xfId="0" applyFont="1" applyAlignment="1">
      <alignment vertical="center"/>
    </xf>
    <xf numFmtId="0" fontId="25" fillId="0" borderId="0" xfId="0" applyFont="1" applyAlignment="1">
      <alignment vertical="center"/>
    </xf>
    <xf numFmtId="0" fontId="27" fillId="6" borderId="0" xfId="0" applyFont="1" applyFill="1" applyAlignment="1">
      <alignment vertical="center"/>
    </xf>
    <xf numFmtId="0" fontId="27" fillId="8" borderId="0" xfId="0" applyFont="1" applyFill="1" applyAlignment="1">
      <alignment vertical="center"/>
    </xf>
    <xf numFmtId="9" fontId="28" fillId="5" borderId="0" xfId="0" applyNumberFormat="1" applyFont="1" applyFill="1" applyAlignment="1">
      <alignment horizontal="center" vertical="center"/>
    </xf>
    <xf numFmtId="9" fontId="28" fillId="2" borderId="0" xfId="0" applyNumberFormat="1" applyFont="1" applyFill="1" applyAlignment="1">
      <alignment horizontal="center" vertical="center"/>
    </xf>
    <xf numFmtId="3" fontId="28" fillId="2" borderId="0" xfId="0" applyNumberFormat="1" applyFont="1" applyFill="1" applyAlignment="1">
      <alignment horizontal="center" vertical="center"/>
    </xf>
    <xf numFmtId="3" fontId="0" fillId="10" borderId="0" xfId="0" applyNumberFormat="1" applyFill="1"/>
    <xf numFmtId="0" fontId="4" fillId="10" borderId="4" xfId="0" applyFont="1" applyFill="1" applyBorder="1"/>
    <xf numFmtId="0" fontId="0" fillId="0" borderId="5" xfId="0" applyBorder="1" applyAlignment="1"/>
    <xf numFmtId="165" fontId="29" fillId="0" borderId="0" xfId="1" applyNumberFormat="1" applyFont="1" applyFill="1" applyBorder="1" applyAlignment="1">
      <alignment horizontal="right"/>
    </xf>
    <xf numFmtId="167" fontId="29" fillId="4" borderId="0" xfId="1" applyNumberFormat="1" applyFont="1" applyFill="1" applyBorder="1" applyAlignment="1">
      <alignment horizontal="right"/>
    </xf>
    <xf numFmtId="165" fontId="29" fillId="4" borderId="0" xfId="1" applyNumberFormat="1" applyFont="1" applyFill="1" applyBorder="1" applyAlignment="1">
      <alignment horizontal="right"/>
    </xf>
    <xf numFmtId="0" fontId="0" fillId="10" borderId="0" xfId="0" applyFont="1" applyFill="1"/>
    <xf numFmtId="3" fontId="0" fillId="10" borderId="0" xfId="0" applyNumberFormat="1" applyFont="1" applyFill="1"/>
    <xf numFmtId="165" fontId="29" fillId="10" borderId="0" xfId="1" applyNumberFormat="1" applyFont="1" applyFill="1" applyBorder="1" applyAlignment="1">
      <alignment horizontal="right"/>
    </xf>
    <xf numFmtId="3" fontId="30" fillId="5" borderId="0" xfId="0" applyNumberFormat="1" applyFont="1" applyFill="1" applyAlignment="1">
      <alignment horizontal="center" vertical="center"/>
    </xf>
    <xf numFmtId="3" fontId="30" fillId="2" borderId="0" xfId="0" applyNumberFormat="1" applyFont="1" applyFill="1" applyAlignment="1">
      <alignment horizontal="center" vertical="center"/>
    </xf>
    <xf numFmtId="9" fontId="30" fillId="5" borderId="0" xfId="0" applyNumberFormat="1" applyFont="1" applyFill="1" applyAlignment="1">
      <alignment horizontal="center" vertical="center"/>
    </xf>
    <xf numFmtId="10" fontId="0" fillId="0" borderId="0" xfId="0" applyNumberFormat="1" applyFill="1" applyBorder="1"/>
    <xf numFmtId="0" fontId="11" fillId="0" borderId="1" xfId="0" applyFont="1" applyBorder="1" applyAlignment="1"/>
    <xf numFmtId="0" fontId="11" fillId="0" borderId="2" xfId="0" applyFont="1" applyBorder="1" applyAlignment="1"/>
    <xf numFmtId="0" fontId="11" fillId="0" borderId="3" xfId="0" applyFont="1" applyBorder="1" applyAlignment="1"/>
    <xf numFmtId="0" fontId="4" fillId="10" borderId="0" xfId="0" applyFont="1" applyFill="1"/>
    <xf numFmtId="2" fontId="0" fillId="10" borderId="0" xfId="0" applyNumberFormat="1" applyFont="1" applyFill="1"/>
    <xf numFmtId="0" fontId="0" fillId="10" borderId="0" xfId="0" applyFill="1"/>
    <xf numFmtId="3" fontId="9" fillId="5" borderId="0" xfId="0" applyNumberFormat="1" applyFont="1" applyFill="1" applyAlignment="1">
      <alignment horizontal="center" vertical="center"/>
    </xf>
    <xf numFmtId="3" fontId="30" fillId="5" borderId="0" xfId="0" applyNumberFormat="1" applyFont="1" applyFill="1" applyBorder="1" applyAlignment="1">
      <alignment horizontal="center" vertical="center"/>
    </xf>
    <xf numFmtId="3" fontId="30" fillId="11" borderId="0" xfId="0" applyNumberFormat="1" applyFont="1" applyFill="1" applyAlignment="1">
      <alignment horizontal="center" vertical="center"/>
    </xf>
    <xf numFmtId="9" fontId="30" fillId="11" borderId="0" xfId="0" applyNumberFormat="1" applyFont="1" applyFill="1" applyAlignment="1">
      <alignment horizontal="center" vertical="center"/>
    </xf>
    <xf numFmtId="9" fontId="9" fillId="12" borderId="0" xfId="0" applyNumberFormat="1" applyFont="1" applyFill="1" applyAlignment="1">
      <alignment horizontal="center" vertical="center"/>
    </xf>
    <xf numFmtId="0" fontId="30" fillId="3" borderId="12" xfId="0" applyFont="1" applyFill="1" applyBorder="1" applyAlignment="1">
      <alignment vertical="center"/>
    </xf>
    <xf numFmtId="9" fontId="30" fillId="2" borderId="0" xfId="0" applyNumberFormat="1" applyFont="1" applyFill="1" applyAlignment="1">
      <alignment horizontal="center" vertical="center"/>
    </xf>
    <xf numFmtId="3" fontId="0" fillId="0" borderId="0" xfId="0" applyNumberFormat="1" applyFont="1" applyFill="1" applyBorder="1"/>
    <xf numFmtId="168" fontId="0" fillId="0" borderId="0" xfId="0" applyNumberFormat="1" applyFont="1" applyFill="1"/>
    <xf numFmtId="168" fontId="0" fillId="4" borderId="0" xfId="0" applyNumberFormat="1" applyFont="1" applyFill="1"/>
    <xf numFmtId="168" fontId="0" fillId="6" borderId="0" xfId="0" applyNumberFormat="1" applyFont="1" applyFill="1"/>
    <xf numFmtId="169" fontId="0" fillId="0" borderId="0" xfId="0" applyNumberFormat="1" applyFont="1"/>
    <xf numFmtId="0" fontId="4" fillId="0" borderId="0" xfId="0" applyFont="1" applyFill="1" applyBorder="1" applyAlignment="1">
      <alignment horizontal="left"/>
    </xf>
    <xf numFmtId="0" fontId="4" fillId="0" borderId="4" xfId="0" applyFont="1" applyFill="1" applyBorder="1" applyAlignment="1">
      <alignment horizontal="left"/>
    </xf>
    <xf numFmtId="0" fontId="4" fillId="0" borderId="0" xfId="0" quotePrefix="1" applyFont="1" applyFill="1" applyBorder="1" applyAlignment="1">
      <alignment horizontal="left"/>
    </xf>
    <xf numFmtId="0" fontId="5" fillId="0" borderId="4" xfId="0" applyFont="1" applyFill="1" applyBorder="1"/>
    <xf numFmtId="0" fontId="9" fillId="0" borderId="0" xfId="0" applyFont="1" applyFill="1"/>
    <xf numFmtId="3" fontId="9" fillId="0" borderId="0" xfId="0" applyNumberFormat="1" applyFont="1" applyFill="1"/>
    <xf numFmtId="168" fontId="0" fillId="10" borderId="0" xfId="0" applyNumberFormat="1" applyFont="1" applyFill="1"/>
    <xf numFmtId="0" fontId="4" fillId="0" borderId="0" xfId="0" quotePrefix="1" applyFont="1" applyFill="1" applyBorder="1" applyAlignment="1"/>
    <xf numFmtId="0" fontId="4" fillId="0" borderId="4" xfId="0" applyFont="1" applyFill="1" applyBorder="1" applyAlignment="1"/>
    <xf numFmtId="0" fontId="12" fillId="2" borderId="0" xfId="0" applyFont="1" applyFill="1" applyAlignment="1"/>
    <xf numFmtId="9" fontId="0" fillId="0" borderId="0" xfId="0" applyNumberFormat="1" applyFont="1" applyFill="1"/>
    <xf numFmtId="164" fontId="0" fillId="0" borderId="0" xfId="0" applyNumberFormat="1" applyBorder="1"/>
    <xf numFmtId="0" fontId="0" fillId="13" borderId="0" xfId="0" applyFill="1"/>
    <xf numFmtId="0" fontId="12" fillId="14" borderId="0" xfId="0" applyFont="1" applyFill="1" applyBorder="1"/>
    <xf numFmtId="0" fontId="0" fillId="14" borderId="0" xfId="0" applyFill="1"/>
    <xf numFmtId="0" fontId="0" fillId="13" borderId="0" xfId="0" applyFill="1" applyBorder="1"/>
    <xf numFmtId="0" fontId="0" fillId="11" borderId="0" xfId="0" applyFill="1"/>
    <xf numFmtId="0" fontId="12" fillId="11" borderId="0" xfId="0" applyFont="1" applyFill="1"/>
    <xf numFmtId="0" fontId="3" fillId="11" borderId="0" xfId="0" applyFont="1" applyFill="1"/>
    <xf numFmtId="0" fontId="0" fillId="13" borderId="0" xfId="0" applyFill="1" applyAlignment="1">
      <alignment vertical="center"/>
    </xf>
    <xf numFmtId="6" fontId="0" fillId="0" borderId="0" xfId="0" applyNumberFormat="1" applyAlignment="1">
      <alignment vertical="center"/>
    </xf>
    <xf numFmtId="0" fontId="0" fillId="0" borderId="0" xfId="0" applyAlignment="1">
      <alignment vertical="top"/>
    </xf>
    <xf numFmtId="0" fontId="0" fillId="0" borderId="0" xfId="0" applyBorder="1" applyAlignment="1">
      <alignment vertical="top" wrapText="1"/>
    </xf>
    <xf numFmtId="6" fontId="0" fillId="0" borderId="0" xfId="0" applyNumberFormat="1" applyAlignment="1">
      <alignment vertical="top"/>
    </xf>
    <xf numFmtId="0" fontId="0" fillId="0" borderId="0" xfId="0" applyFill="1" applyAlignment="1">
      <alignment vertical="top"/>
    </xf>
    <xf numFmtId="0" fontId="9" fillId="0" borderId="0" xfId="0" applyFont="1" applyFill="1" applyBorder="1" applyAlignment="1">
      <alignment vertical="top" wrapText="1"/>
    </xf>
    <xf numFmtId="0" fontId="0" fillId="0" borderId="0" xfId="0" applyBorder="1" applyAlignment="1">
      <alignment wrapText="1"/>
    </xf>
    <xf numFmtId="0" fontId="0" fillId="0" borderId="2" xfId="0" applyBorder="1"/>
    <xf numFmtId="0" fontId="0" fillId="0" borderId="3" xfId="0" applyBorder="1"/>
    <xf numFmtId="0" fontId="3" fillId="4" borderId="4" xfId="0" applyFont="1" applyFill="1" applyBorder="1"/>
    <xf numFmtId="2" fontId="0" fillId="0" borderId="0" xfId="0" applyNumberFormat="1" applyFont="1" applyBorder="1" applyAlignment="1">
      <alignment horizontal="center" vertical="center" wrapText="1"/>
    </xf>
    <xf numFmtId="3" fontId="4" fillId="0" borderId="0" xfId="0" applyNumberFormat="1" applyFont="1" applyFill="1" applyBorder="1" applyAlignment="1">
      <alignment horizontal="left"/>
    </xf>
    <xf numFmtId="4" fontId="0" fillId="0" borderId="0" xfId="0" applyNumberFormat="1" applyFont="1" applyFill="1" applyAlignment="1">
      <alignment horizontal="center"/>
    </xf>
    <xf numFmtId="0" fontId="9" fillId="0" borderId="1" xfId="0" applyFont="1" applyFill="1" applyBorder="1"/>
    <xf numFmtId="0" fontId="3" fillId="0" borderId="2" xfId="0" applyFont="1" applyFill="1" applyBorder="1"/>
    <xf numFmtId="3" fontId="3" fillId="0" borderId="2" xfId="0" applyNumberFormat="1" applyFont="1" applyFill="1" applyBorder="1" applyAlignment="1">
      <alignment horizontal="left"/>
    </xf>
    <xf numFmtId="3" fontId="9" fillId="0" borderId="2" xfId="0" applyNumberFormat="1" applyFont="1" applyFill="1" applyBorder="1"/>
    <xf numFmtId="1" fontId="0" fillId="0" borderId="0" xfId="0" applyNumberFormat="1"/>
    <xf numFmtId="3" fontId="31" fillId="8" borderId="16" xfId="0" applyNumberFormat="1" applyFont="1" applyFill="1" applyBorder="1" applyAlignment="1">
      <alignment horizontal="center" vertical="center" wrapText="1"/>
    </xf>
    <xf numFmtId="3" fontId="31" fillId="8" borderId="17" xfId="0" applyNumberFormat="1" applyFont="1" applyFill="1" applyBorder="1" applyAlignment="1">
      <alignment horizontal="center" vertical="center" wrapText="1"/>
    </xf>
    <xf numFmtId="3" fontId="31" fillId="8" borderId="18" xfId="0" applyNumberFormat="1" applyFont="1" applyFill="1" applyBorder="1" applyAlignment="1">
      <alignment horizontal="center" vertical="center" wrapText="1"/>
    </xf>
    <xf numFmtId="169" fontId="0" fillId="0" borderId="0" xfId="3" applyNumberFormat="1" applyFont="1" applyFill="1"/>
    <xf numFmtId="0" fontId="0" fillId="0" borderId="0" xfId="0" applyAlignment="1">
      <alignment horizontal="center"/>
    </xf>
    <xf numFmtId="0" fontId="34" fillId="16" borderId="0" xfId="0" applyFont="1" applyFill="1"/>
    <xf numFmtId="0" fontId="34" fillId="16" borderId="0" xfId="0" applyFont="1" applyFill="1" applyBorder="1"/>
    <xf numFmtId="0" fontId="34" fillId="16" borderId="20" xfId="0" applyFont="1" applyFill="1" applyBorder="1"/>
    <xf numFmtId="0" fontId="34" fillId="0" borderId="0" xfId="0" applyFont="1" applyFill="1" applyBorder="1"/>
    <xf numFmtId="165" fontId="33" fillId="0" borderId="0" xfId="1" applyNumberFormat="1" applyFont="1" applyFill="1" applyBorder="1" applyAlignment="1">
      <alignment horizontal="right"/>
    </xf>
    <xf numFmtId="0" fontId="0" fillId="0" borderId="0" xfId="0" applyFill="1" applyAlignment="1">
      <alignment horizontal="right"/>
    </xf>
    <xf numFmtId="0" fontId="0" fillId="0" borderId="0" xfId="0" applyFont="1" applyFill="1" applyAlignment="1">
      <alignment horizontal="left"/>
    </xf>
    <xf numFmtId="0" fontId="0" fillId="0" borderId="0" xfId="0" applyFill="1" applyAlignment="1">
      <alignment horizontal="left"/>
    </xf>
    <xf numFmtId="3" fontId="32" fillId="16" borderId="0" xfId="0" applyNumberFormat="1" applyFont="1" applyFill="1" applyBorder="1" applyAlignment="1" applyProtection="1">
      <alignment horizontal="center"/>
    </xf>
    <xf numFmtId="0" fontId="0" fillId="0" borderId="0" xfId="0"/>
    <xf numFmtId="171" fontId="29" fillId="4" borderId="0" xfId="1" applyNumberFormat="1" applyFont="1" applyFill="1" applyBorder="1" applyAlignment="1">
      <alignment horizontal="right"/>
    </xf>
    <xf numFmtId="171" fontId="29" fillId="0" borderId="0" xfId="1" applyNumberFormat="1" applyFont="1" applyFill="1" applyBorder="1" applyAlignment="1">
      <alignment horizontal="right"/>
    </xf>
    <xf numFmtId="171" fontId="0" fillId="0" borderId="0" xfId="0" applyNumberFormat="1" applyFont="1" applyFill="1"/>
    <xf numFmtId="171" fontId="29" fillId="10" borderId="0" xfId="1" applyNumberFormat="1" applyFont="1" applyFill="1" applyBorder="1" applyAlignment="1">
      <alignment horizontal="right"/>
    </xf>
    <xf numFmtId="1" fontId="0" fillId="0" borderId="0" xfId="0" applyNumberFormat="1" applyFont="1" applyFill="1"/>
    <xf numFmtId="1" fontId="0" fillId="0" borderId="0" xfId="0" applyNumberFormat="1" applyFill="1"/>
    <xf numFmtId="165" fontId="0" fillId="0" borderId="0" xfId="1" applyNumberFormat="1" applyFont="1" applyFill="1"/>
    <xf numFmtId="169" fontId="0" fillId="4" borderId="0" xfId="0" applyNumberFormat="1" applyFill="1"/>
    <xf numFmtId="0" fontId="3" fillId="0" borderId="0" xfId="0" applyFont="1"/>
    <xf numFmtId="0" fontId="4" fillId="0" borderId="13" xfId="0" applyFont="1" applyFill="1" applyBorder="1"/>
    <xf numFmtId="0" fontId="4" fillId="0" borderId="22" xfId="0" applyFont="1" applyFill="1" applyBorder="1"/>
    <xf numFmtId="0" fontId="0" fillId="0" borderId="13" xfId="0" applyBorder="1"/>
    <xf numFmtId="3" fontId="0" fillId="0" borderId="13" xfId="0" applyNumberFormat="1" applyFill="1" applyBorder="1"/>
    <xf numFmtId="0" fontId="0" fillId="19" borderId="0" xfId="0" applyFill="1"/>
    <xf numFmtId="169" fontId="0" fillId="17" borderId="0" xfId="0" applyNumberFormat="1" applyFont="1" applyFill="1"/>
    <xf numFmtId="172" fontId="0" fillId="0" borderId="0" xfId="0" applyNumberFormat="1"/>
    <xf numFmtId="0" fontId="3" fillId="10" borderId="0" xfId="0" applyFont="1" applyFill="1"/>
    <xf numFmtId="0" fontId="3" fillId="4" borderId="0" xfId="0" applyFont="1" applyFill="1"/>
    <xf numFmtId="0" fontId="3" fillId="10" borderId="4" xfId="0" applyFont="1" applyFill="1" applyBorder="1"/>
    <xf numFmtId="0" fontId="3" fillId="4" borderId="13" xfId="0" applyFont="1" applyFill="1" applyBorder="1"/>
    <xf numFmtId="0" fontId="3" fillId="10" borderId="22" xfId="0" applyFont="1" applyFill="1" applyBorder="1"/>
    <xf numFmtId="0" fontId="9" fillId="0" borderId="13" xfId="0" applyFont="1" applyFill="1" applyBorder="1"/>
    <xf numFmtId="3" fontId="9" fillId="0" borderId="13" xfId="0" applyNumberFormat="1" applyFont="1" applyFill="1" applyBorder="1"/>
    <xf numFmtId="3" fontId="9" fillId="0" borderId="0" xfId="0" applyNumberFormat="1" applyFont="1"/>
    <xf numFmtId="0" fontId="4" fillId="0" borderId="13" xfId="0" quotePrefix="1" applyFont="1" applyFill="1" applyBorder="1" applyAlignment="1">
      <alignment horizontal="left"/>
    </xf>
    <xf numFmtId="0" fontId="4" fillId="0" borderId="22" xfId="0" applyFont="1" applyFill="1" applyBorder="1" applyAlignment="1"/>
    <xf numFmtId="3" fontId="0" fillId="0" borderId="13" xfId="0" applyNumberFormat="1" applyFont="1" applyFill="1" applyBorder="1"/>
    <xf numFmtId="10" fontId="0" fillId="0" borderId="13" xfId="0" applyNumberFormat="1" applyFont="1" applyFill="1" applyBorder="1"/>
    <xf numFmtId="0" fontId="5" fillId="0" borderId="22" xfId="0" applyFont="1" applyFill="1" applyBorder="1"/>
    <xf numFmtId="0" fontId="0" fillId="0" borderId="13" xfId="0" applyFont="1" applyFill="1" applyBorder="1"/>
    <xf numFmtId="9" fontId="0" fillId="0" borderId="0" xfId="3" applyNumberFormat="1" applyFont="1"/>
    <xf numFmtId="0" fontId="4" fillId="4" borderId="13" xfId="0" applyFont="1" applyFill="1" applyBorder="1"/>
    <xf numFmtId="0" fontId="3" fillId="0" borderId="4" xfId="0" applyFont="1" applyFill="1" applyBorder="1"/>
    <xf numFmtId="165" fontId="0" fillId="0" borderId="0" xfId="1" applyNumberFormat="1" applyFont="1"/>
    <xf numFmtId="165" fontId="0" fillId="0" borderId="0" xfId="1" applyNumberFormat="1" applyFont="1" applyAlignment="1">
      <alignment vertical="center"/>
    </xf>
    <xf numFmtId="165" fontId="0" fillId="0" borderId="0" xfId="1" applyNumberFormat="1" applyFont="1" applyAlignment="1">
      <alignment vertical="top"/>
    </xf>
    <xf numFmtId="165" fontId="0" fillId="0" borderId="0" xfId="1" applyNumberFormat="1" applyFont="1" applyFill="1" applyAlignment="1">
      <alignment vertical="center"/>
    </xf>
    <xf numFmtId="0" fontId="27" fillId="0" borderId="0" xfId="0" applyFont="1"/>
    <xf numFmtId="0" fontId="27" fillId="5" borderId="0" xfId="0" applyFont="1" applyFill="1"/>
    <xf numFmtId="0" fontId="35" fillId="3" borderId="0" xfId="0" applyFont="1" applyFill="1"/>
    <xf numFmtId="0" fontId="36" fillId="0" borderId="0" xfId="0" applyFont="1" applyFill="1" applyBorder="1"/>
    <xf numFmtId="0" fontId="36" fillId="0" borderId="13" xfId="0" applyFont="1" applyFill="1" applyBorder="1"/>
    <xf numFmtId="0" fontId="20" fillId="5" borderId="21" xfId="0" applyFont="1" applyFill="1" applyBorder="1"/>
    <xf numFmtId="0" fontId="20" fillId="18" borderId="21" xfId="0" applyFont="1" applyFill="1" applyBorder="1"/>
    <xf numFmtId="0" fontId="36" fillId="0" borderId="0" xfId="0" applyFont="1"/>
    <xf numFmtId="0" fontId="36" fillId="0" borderId="13" xfId="0" applyFont="1" applyBorder="1"/>
    <xf numFmtId="0" fontId="36" fillId="0" borderId="12" xfId="0" applyFont="1" applyFill="1" applyBorder="1"/>
    <xf numFmtId="0" fontId="36" fillId="0" borderId="21" xfId="0" applyFont="1" applyFill="1" applyBorder="1"/>
    <xf numFmtId="0" fontId="35" fillId="15" borderId="0" xfId="0" applyFont="1" applyFill="1"/>
    <xf numFmtId="0" fontId="20" fillId="14" borderId="0" xfId="0" applyFont="1" applyFill="1" applyBorder="1"/>
    <xf numFmtId="0" fontId="27" fillId="13" borderId="0" xfId="0" applyFont="1" applyFill="1" applyBorder="1"/>
    <xf numFmtId="0" fontId="27" fillId="0" borderId="0" xfId="0" applyFont="1" applyBorder="1"/>
    <xf numFmtId="0" fontId="27" fillId="3" borderId="0" xfId="0" applyFont="1" applyFill="1"/>
    <xf numFmtId="0" fontId="36" fillId="0" borderId="4" xfId="0" applyFont="1" applyFill="1" applyBorder="1"/>
    <xf numFmtId="10" fontId="27" fillId="0" borderId="0" xfId="0" applyNumberFormat="1" applyFont="1"/>
    <xf numFmtId="10" fontId="27" fillId="0" borderId="0" xfId="0" applyNumberFormat="1" applyFont="1" applyFill="1"/>
    <xf numFmtId="0" fontId="20" fillId="3" borderId="4" xfId="0" applyFont="1" applyFill="1" applyBorder="1"/>
    <xf numFmtId="10" fontId="27" fillId="3" borderId="0" xfId="0" applyNumberFormat="1" applyFont="1" applyFill="1"/>
    <xf numFmtId="0" fontId="27" fillId="0" borderId="0" xfId="0" applyFont="1" applyFill="1"/>
    <xf numFmtId="2" fontId="27" fillId="0" borderId="0" xfId="0" applyNumberFormat="1" applyFont="1" applyFill="1"/>
    <xf numFmtId="2" fontId="27" fillId="3" borderId="0" xfId="0" applyNumberFormat="1" applyFont="1" applyFill="1"/>
    <xf numFmtId="0" fontId="36" fillId="0" borderId="22" xfId="0" applyFont="1" applyFill="1" applyBorder="1"/>
    <xf numFmtId="0" fontId="27" fillId="0" borderId="13" xfId="0" applyFont="1" applyBorder="1"/>
    <xf numFmtId="0" fontId="27" fillId="0" borderId="13" xfId="0" applyFont="1" applyFill="1" applyBorder="1"/>
    <xf numFmtId="2" fontId="27" fillId="0" borderId="13" xfId="0" applyNumberFormat="1" applyFont="1" applyFill="1" applyBorder="1"/>
    <xf numFmtId="0" fontId="27" fillId="5" borderId="21" xfId="0" applyFont="1" applyFill="1" applyBorder="1"/>
    <xf numFmtId="3" fontId="27" fillId="0" borderId="0" xfId="0" applyNumberFormat="1" applyFont="1" applyFill="1"/>
    <xf numFmtId="3" fontId="27" fillId="0" borderId="13" xfId="0" applyNumberFormat="1" applyFont="1" applyFill="1" applyBorder="1"/>
    <xf numFmtId="0" fontId="27" fillId="18" borderId="21" xfId="0" applyFont="1" applyFill="1" applyBorder="1"/>
    <xf numFmtId="9" fontId="27" fillId="0" borderId="0" xfId="3" applyFont="1"/>
    <xf numFmtId="9" fontId="27" fillId="0" borderId="0" xfId="3" applyFont="1" applyFill="1"/>
    <xf numFmtId="9" fontId="27" fillId="0" borderId="13" xfId="3" applyFont="1" applyBorder="1"/>
    <xf numFmtId="9" fontId="27" fillId="0" borderId="13" xfId="3" applyFont="1" applyFill="1" applyBorder="1"/>
    <xf numFmtId="9" fontId="27" fillId="0" borderId="12" xfId="3" applyFont="1" applyBorder="1"/>
    <xf numFmtId="9" fontId="27" fillId="0" borderId="12" xfId="3" applyFont="1" applyFill="1" applyBorder="1"/>
    <xf numFmtId="9" fontId="27" fillId="0" borderId="0" xfId="3" applyFont="1" applyBorder="1"/>
    <xf numFmtId="9" fontId="27" fillId="0" borderId="0" xfId="3" applyFont="1" applyFill="1" applyBorder="1"/>
    <xf numFmtId="9" fontId="27" fillId="0" borderId="21" xfId="3" applyFont="1" applyBorder="1"/>
    <xf numFmtId="9" fontId="27" fillId="0" borderId="21" xfId="3" applyFont="1" applyFill="1" applyBorder="1"/>
    <xf numFmtId="0" fontId="27" fillId="15" borderId="0" xfId="0" applyFont="1" applyFill="1"/>
    <xf numFmtId="164" fontId="27" fillId="0" borderId="0" xfId="0" applyNumberFormat="1" applyFont="1"/>
    <xf numFmtId="164" fontId="27" fillId="0" borderId="0" xfId="0" applyNumberFormat="1" applyFont="1" applyFill="1"/>
    <xf numFmtId="164" fontId="37" fillId="0" borderId="0" xfId="0" applyNumberFormat="1" applyFont="1"/>
    <xf numFmtId="3" fontId="27" fillId="0" borderId="0" xfId="0" applyNumberFormat="1" applyFont="1"/>
    <xf numFmtId="0" fontId="27" fillId="14" borderId="0" xfId="0" applyFont="1" applyFill="1"/>
    <xf numFmtId="0" fontId="27" fillId="13" borderId="0" xfId="0" applyFont="1" applyFill="1"/>
    <xf numFmtId="164" fontId="27" fillId="0" borderId="0" xfId="0" applyNumberFormat="1" applyFont="1" applyBorder="1"/>
    <xf numFmtId="0" fontId="36" fillId="0" borderId="4" xfId="0" applyFont="1" applyFill="1" applyBorder="1" applyAlignment="1">
      <alignment horizontal="right"/>
    </xf>
    <xf numFmtId="0" fontId="5" fillId="3" borderId="0" xfId="0" applyFont="1" applyFill="1" applyAlignment="1">
      <alignment horizontal="left"/>
    </xf>
    <xf numFmtId="173" fontId="0" fillId="0" borderId="0" xfId="4" applyNumberFormat="1" applyFont="1"/>
    <xf numFmtId="0" fontId="27" fillId="5" borderId="0" xfId="0" applyFont="1" applyFill="1" applyBorder="1"/>
    <xf numFmtId="0" fontId="35" fillId="3" borderId="0" xfId="0" applyFont="1" applyFill="1" applyBorder="1"/>
    <xf numFmtId="0" fontId="36" fillId="0" borderId="0" xfId="0" applyFont="1" applyBorder="1"/>
    <xf numFmtId="0" fontId="36" fillId="0" borderId="4" xfId="0" applyFont="1" applyBorder="1"/>
    <xf numFmtId="4" fontId="27" fillId="0" borderId="0" xfId="0" applyNumberFormat="1" applyFont="1" applyBorder="1" applyAlignment="1">
      <alignment horizontal="right"/>
    </xf>
    <xf numFmtId="0" fontId="36" fillId="4" borderId="0" xfId="0" applyFont="1" applyFill="1" applyBorder="1"/>
    <xf numFmtId="0" fontId="36" fillId="4" borderId="4" xfId="0" applyFont="1" applyFill="1" applyBorder="1"/>
    <xf numFmtId="0" fontId="27" fillId="4" borderId="0" xfId="0" applyFont="1" applyFill="1" applyBorder="1"/>
    <xf numFmtId="4" fontId="27" fillId="4" borderId="0" xfId="0" applyNumberFormat="1" applyFont="1" applyFill="1" applyBorder="1" applyAlignment="1">
      <alignment horizontal="right"/>
    </xf>
    <xf numFmtId="4" fontId="27" fillId="0" borderId="0" xfId="0" applyNumberFormat="1" applyFont="1" applyFill="1" applyBorder="1" applyAlignment="1">
      <alignment horizontal="right"/>
    </xf>
    <xf numFmtId="0" fontId="27" fillId="0" borderId="0" xfId="0" applyFont="1" applyFill="1" applyBorder="1"/>
    <xf numFmtId="0" fontId="36" fillId="10" borderId="4" xfId="0" applyFont="1" applyFill="1" applyBorder="1"/>
    <xf numFmtId="0" fontId="27" fillId="10" borderId="0" xfId="0" applyFont="1" applyFill="1" applyBorder="1"/>
    <xf numFmtId="4" fontId="27" fillId="10" borderId="0" xfId="0" applyNumberFormat="1" applyFont="1" applyFill="1" applyBorder="1" applyAlignment="1">
      <alignment horizontal="right"/>
    </xf>
    <xf numFmtId="0" fontId="36" fillId="6" borderId="0" xfId="0" applyFont="1" applyFill="1" applyBorder="1" applyAlignment="1">
      <alignment horizontal="left"/>
    </xf>
    <xf numFmtId="0" fontId="36" fillId="6" borderId="4" xfId="0" applyFont="1" applyFill="1" applyBorder="1" applyAlignment="1">
      <alignment horizontal="left"/>
    </xf>
    <xf numFmtId="0" fontId="27" fillId="6" borderId="0" xfId="0" applyFont="1" applyFill="1" applyBorder="1" applyAlignment="1">
      <alignment horizontal="left"/>
    </xf>
    <xf numFmtId="4" fontId="27" fillId="6" borderId="0" xfId="0" applyNumberFormat="1" applyFont="1" applyFill="1" applyBorder="1" applyAlignment="1">
      <alignment horizontal="right"/>
    </xf>
    <xf numFmtId="6" fontId="27" fillId="0" borderId="0" xfId="0" applyNumberFormat="1" applyFont="1"/>
    <xf numFmtId="6" fontId="27" fillId="4" borderId="0" xfId="0" applyNumberFormat="1" applyFont="1" applyFill="1"/>
    <xf numFmtId="6" fontId="27" fillId="0" borderId="0" xfId="0" applyNumberFormat="1" applyFont="1" applyFill="1"/>
    <xf numFmtId="0" fontId="36" fillId="0" borderId="0" xfId="0" applyFont="1" applyFill="1" applyBorder="1" applyAlignment="1">
      <alignment horizontal="left"/>
    </xf>
    <xf numFmtId="0" fontId="36" fillId="0" borderId="4" xfId="0" applyFont="1" applyFill="1" applyBorder="1" applyAlignment="1">
      <alignment horizontal="left"/>
    </xf>
    <xf numFmtId="0" fontId="27" fillId="0" borderId="4" xfId="0" applyFont="1" applyBorder="1"/>
    <xf numFmtId="4" fontId="27" fillId="0" borderId="0" xfId="0" applyNumberFormat="1" applyFont="1" applyFill="1"/>
    <xf numFmtId="0" fontId="27" fillId="4" borderId="4" xfId="0" applyFont="1" applyFill="1" applyBorder="1"/>
    <xf numFmtId="3" fontId="27" fillId="4" borderId="0" xfId="0" applyNumberFormat="1" applyFont="1" applyFill="1"/>
    <xf numFmtId="4" fontId="27" fillId="4" borderId="0" xfId="0" applyNumberFormat="1" applyFont="1" applyFill="1"/>
    <xf numFmtId="4" fontId="27" fillId="10" borderId="0" xfId="0" applyNumberFormat="1" applyFont="1" applyFill="1"/>
    <xf numFmtId="3" fontId="27" fillId="10" borderId="0" xfId="0" applyNumberFormat="1" applyFont="1" applyFill="1"/>
    <xf numFmtId="0" fontId="27" fillId="0" borderId="4" xfId="0" applyFont="1" applyFill="1" applyBorder="1"/>
    <xf numFmtId="4" fontId="27" fillId="0" borderId="0" xfId="0" applyNumberFormat="1" applyFont="1"/>
    <xf numFmtId="170" fontId="27" fillId="4" borderId="0" xfId="0" applyNumberFormat="1" applyFont="1" applyFill="1"/>
    <xf numFmtId="0" fontId="20" fillId="2" borderId="0" xfId="0" applyFont="1" applyFill="1" applyBorder="1"/>
    <xf numFmtId="0" fontId="27" fillId="2" borderId="0" xfId="0" applyFont="1" applyFill="1"/>
    <xf numFmtId="49" fontId="27" fillId="5" borderId="0" xfId="0" applyNumberFormat="1" applyFont="1" applyFill="1" applyAlignment="1">
      <alignment horizontal="right"/>
    </xf>
    <xf numFmtId="2" fontId="27" fillId="4" borderId="0" xfId="0" applyNumberFormat="1" applyFont="1" applyFill="1" applyBorder="1"/>
    <xf numFmtId="2" fontId="27" fillId="0" borderId="0" xfId="0" applyNumberFormat="1" applyFont="1" applyBorder="1"/>
    <xf numFmtId="2" fontId="27" fillId="0" borderId="0" xfId="0" applyNumberFormat="1" applyFont="1" applyFill="1" applyBorder="1"/>
    <xf numFmtId="2" fontId="27" fillId="6" borderId="0" xfId="0" applyNumberFormat="1" applyFont="1" applyFill="1" applyBorder="1" applyAlignment="1">
      <alignment horizontal="left"/>
    </xf>
    <xf numFmtId="2" fontId="27" fillId="6" borderId="0" xfId="0" applyNumberFormat="1" applyFont="1" applyFill="1" applyBorder="1" applyAlignment="1">
      <alignment horizontal="right"/>
    </xf>
    <xf numFmtId="2" fontId="27" fillId="0" borderId="0" xfId="0" applyNumberFormat="1" applyFont="1" applyFill="1" applyBorder="1" applyAlignment="1">
      <alignment horizontal="left"/>
    </xf>
    <xf numFmtId="2" fontId="27" fillId="0" borderId="0" xfId="0" applyNumberFormat="1" applyFont="1" applyFill="1" applyBorder="1" applyAlignment="1">
      <alignment horizontal="right"/>
    </xf>
    <xf numFmtId="0" fontId="36" fillId="6" borderId="13" xfId="0" applyFont="1" applyFill="1" applyBorder="1" applyAlignment="1">
      <alignment horizontal="left"/>
    </xf>
    <xf numFmtId="0" fontId="36" fillId="6" borderId="22" xfId="0" applyFont="1" applyFill="1" applyBorder="1" applyAlignment="1">
      <alignment horizontal="left"/>
    </xf>
    <xf numFmtId="2" fontId="27" fillId="6" borderId="13" xfId="0" applyNumberFormat="1" applyFont="1" applyFill="1" applyBorder="1" applyAlignment="1">
      <alignment horizontal="left"/>
    </xf>
    <xf numFmtId="2" fontId="27" fillId="6" borderId="13" xfId="0" applyNumberFormat="1" applyFont="1" applyFill="1" applyBorder="1" applyAlignment="1">
      <alignment horizontal="right"/>
    </xf>
    <xf numFmtId="0" fontId="27" fillId="0" borderId="22" xfId="0" applyFont="1" applyFill="1" applyBorder="1"/>
    <xf numFmtId="0" fontId="20" fillId="0" borderId="21" xfId="0" applyFont="1" applyBorder="1"/>
    <xf numFmtId="0" fontId="27" fillId="0" borderId="23" xfId="0" applyFont="1" applyFill="1" applyBorder="1"/>
    <xf numFmtId="0" fontId="27" fillId="0" borderId="21" xfId="0" applyFont="1" applyFill="1" applyBorder="1"/>
    <xf numFmtId="0" fontId="35" fillId="3" borderId="4" xfId="0" applyFont="1" applyFill="1" applyBorder="1"/>
    <xf numFmtId="0" fontId="27" fillId="4" borderId="0" xfId="0" applyFont="1" applyFill="1"/>
    <xf numFmtId="0" fontId="27" fillId="0" borderId="0" xfId="0" applyFont="1" applyAlignment="1">
      <alignment horizontal="left"/>
    </xf>
    <xf numFmtId="3" fontId="36" fillId="0" borderId="0" xfId="0" applyNumberFormat="1" applyFont="1" applyFill="1"/>
    <xf numFmtId="3" fontId="36" fillId="4" borderId="0" xfId="0" applyNumberFormat="1" applyFont="1" applyFill="1"/>
    <xf numFmtId="3" fontId="36" fillId="10" borderId="0" xfId="0" applyNumberFormat="1" applyFont="1" applyFill="1"/>
    <xf numFmtId="0" fontId="36" fillId="0" borderId="0" xfId="0" applyFont="1" applyFill="1"/>
    <xf numFmtId="0" fontId="36" fillId="4" borderId="0" xfId="0" applyFont="1" applyFill="1"/>
    <xf numFmtId="2" fontId="27" fillId="4" borderId="0" xfId="0" applyNumberFormat="1" applyFont="1" applyFill="1"/>
    <xf numFmtId="0" fontId="36" fillId="10" borderId="0" xfId="0" applyFont="1" applyFill="1"/>
    <xf numFmtId="0" fontId="27" fillId="10" borderId="4" xfId="0" applyFont="1" applyFill="1" applyBorder="1"/>
    <xf numFmtId="0" fontId="27" fillId="10" borderId="0" xfId="0" applyFont="1" applyFill="1"/>
    <xf numFmtId="2" fontId="27" fillId="10" borderId="0" xfId="0" applyNumberFormat="1" applyFont="1" applyFill="1"/>
    <xf numFmtId="0" fontId="36" fillId="6" borderId="0" xfId="0" applyFont="1" applyFill="1"/>
    <xf numFmtId="0" fontId="27" fillId="6" borderId="0" xfId="0" applyFont="1" applyFill="1"/>
    <xf numFmtId="2" fontId="27" fillId="6" borderId="0" xfId="0" applyNumberFormat="1" applyFont="1" applyFill="1"/>
    <xf numFmtId="1" fontId="27" fillId="0" borderId="0" xfId="0" applyNumberFormat="1" applyFont="1"/>
    <xf numFmtId="9" fontId="27" fillId="0" borderId="0" xfId="0" applyNumberFormat="1" applyFont="1" applyFill="1" applyBorder="1" applyAlignment="1"/>
    <xf numFmtId="9" fontId="27" fillId="0" borderId="0" xfId="0" applyNumberFormat="1" applyFont="1"/>
    <xf numFmtId="9" fontId="27" fillId="0" borderId="0" xfId="0" applyNumberFormat="1" applyFont="1" applyFill="1"/>
    <xf numFmtId="0" fontId="25" fillId="3" borderId="0" xfId="0" applyFont="1" applyFill="1"/>
    <xf numFmtId="0" fontId="36" fillId="4" borderId="4" xfId="0" applyFont="1" applyFill="1" applyBorder="1" applyAlignment="1">
      <alignment horizontal="left"/>
    </xf>
    <xf numFmtId="0" fontId="0" fillId="0" borderId="0" xfId="0" applyBorder="1" applyAlignment="1">
      <alignment horizontal="center" vertical="center" wrapText="1"/>
    </xf>
    <xf numFmtId="3" fontId="0" fillId="0" borderId="0" xfId="0" applyNumberFormat="1" applyBorder="1" applyAlignment="1">
      <alignment horizontal="center" vertical="center" wrapText="1"/>
    </xf>
    <xf numFmtId="0" fontId="0" fillId="0" borderId="0" xfId="0" applyBorder="1" applyAlignment="1">
      <alignment horizontal="center" vertical="top" wrapText="1"/>
    </xf>
    <xf numFmtId="0" fontId="4" fillId="5" borderId="0" xfId="0" applyFont="1" applyFill="1" applyAlignment="1">
      <alignment horizontal="center"/>
    </xf>
    <xf numFmtId="0" fontId="0" fillId="0" borderId="13" xfId="0" applyBorder="1" applyAlignment="1">
      <alignment horizontal="center" vertical="center" wrapText="1"/>
    </xf>
    <xf numFmtId="0" fontId="3" fillId="3" borderId="0" xfId="0" applyFont="1" applyFill="1" applyBorder="1" applyAlignment="1">
      <alignment horizontal="center"/>
    </xf>
    <xf numFmtId="0" fontId="3" fillId="3" borderId="0" xfId="0" applyFont="1" applyFill="1" applyBorder="1" applyAlignment="1">
      <alignment horizontal="center" vertical="center"/>
    </xf>
    <xf numFmtId="0" fontId="0" fillId="0" borderId="0" xfId="0" applyFont="1" applyAlignment="1">
      <alignment horizontal="center" vertical="center"/>
    </xf>
    <xf numFmtId="0" fontId="4" fillId="0" borderId="0" xfId="0" applyFont="1" applyFill="1" applyAlignment="1">
      <alignment wrapText="1"/>
    </xf>
    <xf numFmtId="170" fontId="0" fillId="0" borderId="0" xfId="0" applyNumberFormat="1" applyBorder="1" applyAlignment="1">
      <alignment horizontal="center" vertical="center" wrapText="1"/>
    </xf>
    <xf numFmtId="44" fontId="0" fillId="0" borderId="0" xfId="4" applyFont="1" applyBorder="1" applyAlignment="1">
      <alignment horizontal="center" vertical="center" wrapText="1"/>
    </xf>
    <xf numFmtId="44" fontId="0" fillId="20" borderId="0" xfId="4" applyFont="1" applyFill="1" applyBorder="1" applyAlignment="1">
      <alignment horizontal="center" vertical="center" wrapText="1"/>
    </xf>
    <xf numFmtId="0" fontId="0" fillId="20" borderId="0" xfId="0" applyFont="1" applyFill="1" applyAlignment="1">
      <alignment horizontal="center" vertical="center"/>
    </xf>
    <xf numFmtId="0" fontId="3" fillId="20" borderId="0" xfId="0" applyFont="1" applyFill="1"/>
    <xf numFmtId="173" fontId="0" fillId="0" borderId="0" xfId="4" applyNumberFormat="1" applyFont="1" applyBorder="1" applyAlignment="1">
      <alignment horizontal="center" vertical="center" wrapText="1"/>
    </xf>
    <xf numFmtId="3" fontId="9" fillId="19" borderId="0" xfId="0" applyNumberFormat="1" applyFont="1" applyFill="1"/>
    <xf numFmtId="0" fontId="0" fillId="0" borderId="13" xfId="0" applyFill="1" applyBorder="1"/>
    <xf numFmtId="0" fontId="4" fillId="0" borderId="0" xfId="0" quotePrefix="1" applyFont="1" applyFill="1" applyBorder="1" applyAlignment="1">
      <alignment horizontal="left" wrapText="1"/>
    </xf>
    <xf numFmtId="0" fontId="4" fillId="0" borderId="4" xfId="0" applyFont="1" applyFill="1" applyBorder="1" applyAlignment="1">
      <alignment wrapText="1"/>
    </xf>
    <xf numFmtId="0" fontId="39" fillId="21" borderId="0" xfId="5"/>
    <xf numFmtId="3" fontId="39" fillId="21" borderId="0" xfId="5" applyNumberFormat="1"/>
    <xf numFmtId="4" fontId="39" fillId="21" borderId="0" xfId="5" applyNumberFormat="1"/>
    <xf numFmtId="9" fontId="0" fillId="0" borderId="0" xfId="0" applyNumberFormat="1" applyFont="1"/>
    <xf numFmtId="0" fontId="3" fillId="6" borderId="4" xfId="0" applyFont="1" applyFill="1" applyBorder="1" applyAlignment="1">
      <alignment horizontal="left"/>
    </xf>
    <xf numFmtId="2" fontId="0" fillId="4" borderId="0" xfId="0" applyNumberFormat="1" applyFont="1" applyFill="1" applyAlignment="1">
      <alignment vertical="center"/>
    </xf>
    <xf numFmtId="2" fontId="0" fillId="0" borderId="0" xfId="0" applyNumberFormat="1" applyFill="1"/>
    <xf numFmtId="0" fontId="4" fillId="0" borderId="2" xfId="0" applyFont="1" applyFill="1" applyBorder="1" applyAlignment="1">
      <alignment horizontal="left" vertical="center" wrapText="1"/>
    </xf>
    <xf numFmtId="3" fontId="0" fillId="0" borderId="2" xfId="0" applyNumberFormat="1" applyFont="1" applyFill="1" applyBorder="1" applyAlignment="1">
      <alignment vertical="center" wrapText="1"/>
    </xf>
    <xf numFmtId="168" fontId="0" fillId="14" borderId="0" xfId="0" applyNumberFormat="1" applyFont="1" applyFill="1"/>
    <xf numFmtId="0" fontId="4" fillId="19" borderId="4" xfId="0" applyFont="1" applyFill="1" applyBorder="1" applyAlignment="1">
      <alignment horizontal="left"/>
    </xf>
    <xf numFmtId="0" fontId="0" fillId="19" borderId="0" xfId="0" applyFont="1" applyFill="1"/>
    <xf numFmtId="2" fontId="0" fillId="19" borderId="0" xfId="0" applyNumberFormat="1" applyFont="1" applyFill="1"/>
    <xf numFmtId="168" fontId="0" fillId="19" borderId="0" xfId="0" applyNumberFormat="1" applyFont="1" applyFill="1"/>
    <xf numFmtId="0" fontId="4" fillId="14" borderId="0" xfId="0" applyFont="1" applyFill="1"/>
    <xf numFmtId="0" fontId="3" fillId="19" borderId="0" xfId="0" applyFont="1" applyFill="1"/>
    <xf numFmtId="1" fontId="0" fillId="14" borderId="0" xfId="0" applyNumberFormat="1" applyFont="1" applyFill="1"/>
    <xf numFmtId="0" fontId="36" fillId="19" borderId="0" xfId="0" applyFont="1" applyFill="1"/>
    <xf numFmtId="0" fontId="36" fillId="19" borderId="4" xfId="0" applyFont="1" applyFill="1" applyBorder="1" applyAlignment="1">
      <alignment horizontal="left"/>
    </xf>
    <xf numFmtId="0" fontId="27" fillId="19" borderId="0" xfId="0" applyFont="1" applyFill="1"/>
    <xf numFmtId="2" fontId="27" fillId="19" borderId="0" xfId="0" applyNumberFormat="1" applyFont="1" applyFill="1"/>
    <xf numFmtId="0" fontId="36" fillId="22" borderId="0" xfId="0" applyFont="1" applyFill="1"/>
    <xf numFmtId="0" fontId="36" fillId="22" borderId="4" xfId="0" applyFont="1" applyFill="1" applyBorder="1" applyAlignment="1">
      <alignment horizontal="left"/>
    </xf>
    <xf numFmtId="0" fontId="27" fillId="22" borderId="0" xfId="0" applyFont="1" applyFill="1"/>
    <xf numFmtId="3" fontId="27" fillId="22" borderId="0" xfId="0" applyNumberFormat="1" applyFont="1" applyFill="1"/>
    <xf numFmtId="0" fontId="13" fillId="3" borderId="0" xfId="0" applyFont="1" applyFill="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0" fillId="5" borderId="0" xfId="0" applyFont="1" applyFill="1" applyAlignment="1">
      <alignment horizontal="right" vertical="center"/>
    </xf>
    <xf numFmtId="0" fontId="9" fillId="0" borderId="0" xfId="0" applyFont="1" applyAlignment="1">
      <alignment horizontal="center" vertical="center"/>
    </xf>
    <xf numFmtId="2" fontId="0" fillId="0" borderId="0" xfId="0" applyNumberFormat="1"/>
    <xf numFmtId="0" fontId="4" fillId="0" borderId="0" xfId="0" applyFont="1"/>
    <xf numFmtId="0" fontId="9" fillId="5" borderId="0" xfId="0" applyFont="1" applyFill="1"/>
    <xf numFmtId="170" fontId="0" fillId="0" borderId="0" xfId="0" applyNumberFormat="1" applyFont="1" applyFill="1" applyAlignment="1">
      <alignment horizontal="center"/>
    </xf>
    <xf numFmtId="165" fontId="3" fillId="0" borderId="2" xfId="1" applyNumberFormat="1" applyFont="1" applyFill="1" applyBorder="1"/>
    <xf numFmtId="0" fontId="36" fillId="0" borderId="0" xfId="0" applyFont="1" applyFill="1" applyBorder="1" applyAlignment="1">
      <alignment horizontal="left"/>
    </xf>
    <xf numFmtId="0" fontId="0" fillId="0" borderId="0" xfId="0" applyNumberFormat="1"/>
    <xf numFmtId="3" fontId="0" fillId="23" borderId="0" xfId="0" applyNumberFormat="1" applyFill="1"/>
    <xf numFmtId="0" fontId="0" fillId="23" borderId="0" xfId="0" applyFill="1"/>
    <xf numFmtId="168" fontId="0" fillId="0" borderId="0" xfId="0" applyNumberFormat="1"/>
    <xf numFmtId="165" fontId="0" fillId="0" borderId="0" xfId="1" applyNumberFormat="1" applyFont="1" applyFill="1" applyAlignment="1">
      <alignment horizontal="left" indent="4"/>
    </xf>
    <xf numFmtId="0" fontId="0" fillId="0" borderId="0" xfId="0" applyFill="1" applyAlignment="1">
      <alignment wrapText="1"/>
    </xf>
    <xf numFmtId="3" fontId="40" fillId="0" borderId="0" xfId="0" applyNumberFormat="1" applyFont="1" applyAlignment="1">
      <alignment horizontal="left" vertical="center" wrapText="1"/>
    </xf>
    <xf numFmtId="2" fontId="27" fillId="3" borderId="0" xfId="0" applyNumberFormat="1" applyFont="1" applyFill="1" applyBorder="1"/>
    <xf numFmtId="3" fontId="0" fillId="0" borderId="24" xfId="0" applyNumberFormat="1" applyBorder="1"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3" fontId="9" fillId="0" borderId="25" xfId="0" applyNumberFormat="1" applyFont="1" applyBorder="1" applyAlignment="1">
      <alignment horizontal="center" vertical="center" wrapText="1"/>
    </xf>
    <xf numFmtId="0" fontId="4" fillId="5" borderId="5" xfId="0" applyFont="1" applyFill="1" applyBorder="1" applyAlignment="1">
      <alignment horizontal="center"/>
    </xf>
    <xf numFmtId="0" fontId="9" fillId="0" borderId="26" xfId="0" applyFont="1" applyBorder="1" applyAlignment="1">
      <alignment horizontal="center" vertical="center" wrapText="1"/>
    </xf>
    <xf numFmtId="0" fontId="3" fillId="0" borderId="26" xfId="0" applyFont="1" applyFill="1" applyBorder="1"/>
    <xf numFmtId="0" fontId="3" fillId="3" borderId="5" xfId="0" applyFont="1" applyFill="1" applyBorder="1" applyAlignment="1">
      <alignment horizontal="center" vertical="center"/>
    </xf>
    <xf numFmtId="0" fontId="0" fillId="3" borderId="0" xfId="0" applyFill="1" applyBorder="1"/>
    <xf numFmtId="0" fontId="12" fillId="3" borderId="0" xfId="0" applyFont="1" applyFill="1"/>
    <xf numFmtId="0" fontId="4" fillId="3" borderId="0" xfId="0" applyFont="1" applyFill="1"/>
    <xf numFmtId="0" fontId="4" fillId="3" borderId="4" xfId="0" applyFont="1" applyFill="1" applyBorder="1" applyAlignment="1">
      <alignment horizontal="left"/>
    </xf>
    <xf numFmtId="168" fontId="0" fillId="3" borderId="0" xfId="0" applyNumberFormat="1" applyFont="1" applyFill="1"/>
    <xf numFmtId="1" fontId="0" fillId="3" borderId="0" xfId="0" applyNumberFormat="1" applyFont="1" applyFill="1"/>
    <xf numFmtId="0" fontId="4" fillId="3" borderId="0" xfId="0" quotePrefix="1" applyFont="1" applyFill="1" applyBorder="1" applyAlignment="1">
      <alignment horizontal="left"/>
    </xf>
    <xf numFmtId="0" fontId="5" fillId="3" borderId="4" xfId="0" applyFont="1" applyFill="1" applyBorder="1"/>
    <xf numFmtId="3" fontId="0" fillId="3" borderId="0" xfId="0" applyNumberFormat="1" applyFont="1" applyFill="1"/>
    <xf numFmtId="9" fontId="0" fillId="3" borderId="0" xfId="0" applyNumberFormat="1" applyFont="1" applyFill="1"/>
    <xf numFmtId="0" fontId="12" fillId="3" borderId="0" xfId="0" applyFont="1" applyFill="1" applyBorder="1"/>
    <xf numFmtId="164" fontId="0" fillId="3" borderId="0" xfId="0" applyNumberFormat="1" applyFill="1" applyBorder="1"/>
    <xf numFmtId="0" fontId="9" fillId="3" borderId="0" xfId="0" applyFont="1" applyFill="1" applyBorder="1" applyAlignment="1">
      <alignment vertical="top" wrapText="1"/>
    </xf>
    <xf numFmtId="0" fontId="0" fillId="0" borderId="0" xfId="0" applyBorder="1" applyAlignment="1">
      <alignment horizontal="left" vertical="center" wrapText="1"/>
    </xf>
    <xf numFmtId="0" fontId="0" fillId="0" borderId="0" xfId="0" applyFill="1" applyBorder="1" applyAlignment="1">
      <alignment horizontal="left" vertical="center" wrapText="1"/>
    </xf>
    <xf numFmtId="0" fontId="0" fillId="0" borderId="0" xfId="0" applyBorder="1" applyAlignment="1">
      <alignment horizontal="right" vertical="center" wrapText="1"/>
    </xf>
    <xf numFmtId="0" fontId="9" fillId="3" borderId="0" xfId="0" applyFont="1" applyFill="1"/>
    <xf numFmtId="0" fontId="9" fillId="3" borderId="0" xfId="1" applyNumberFormat="1" applyFont="1" applyFill="1"/>
    <xf numFmtId="165" fontId="0" fillId="0" borderId="0" xfId="1" applyNumberFormat="1" applyFont="1" applyAlignment="1">
      <alignment horizontal="right"/>
    </xf>
    <xf numFmtId="0" fontId="9" fillId="0" borderId="0" xfId="0" applyFont="1" applyFill="1" applyBorder="1" applyAlignment="1">
      <alignment horizontal="left" vertical="center" wrapText="1"/>
    </xf>
    <xf numFmtId="165" fontId="9" fillId="0" borderId="0" xfId="1" applyNumberFormat="1" applyFont="1" applyAlignment="1">
      <alignment horizontal="right"/>
    </xf>
    <xf numFmtId="0" fontId="9" fillId="0" borderId="0" xfId="0" applyFont="1" applyBorder="1" applyAlignment="1">
      <alignment horizontal="left" vertical="center" wrapText="1"/>
    </xf>
    <xf numFmtId="0" fontId="9" fillId="0" borderId="0" xfId="0" applyFont="1" applyBorder="1" applyAlignment="1">
      <alignment horizontal="left" vertical="top" wrapText="1"/>
    </xf>
    <xf numFmtId="165" fontId="0" fillId="0" borderId="0" xfId="1" applyNumberFormat="1" applyFont="1" applyFill="1" applyBorder="1" applyAlignment="1">
      <alignment horizontal="left" vertical="center" wrapText="1"/>
    </xf>
    <xf numFmtId="165" fontId="9" fillId="0" borderId="0" xfId="1" applyNumberFormat="1" applyFont="1" applyFill="1" applyBorder="1" applyAlignment="1">
      <alignment horizontal="left" vertical="center" wrapText="1"/>
    </xf>
    <xf numFmtId="165" fontId="9" fillId="0" borderId="0" xfId="1" applyNumberFormat="1" applyFont="1" applyAlignment="1">
      <alignment wrapText="1"/>
    </xf>
    <xf numFmtId="0" fontId="0" fillId="0" borderId="0" xfId="0" applyNumberFormat="1" applyFont="1"/>
    <xf numFmtId="3" fontId="0" fillId="2" borderId="0" xfId="0" applyNumberFormat="1" applyFill="1" applyBorder="1" applyAlignment="1">
      <alignment vertical="center"/>
    </xf>
    <xf numFmtId="0" fontId="9" fillId="3" borderId="0" xfId="0" applyFont="1" applyFill="1" applyBorder="1" applyAlignment="1">
      <alignment vertical="center"/>
    </xf>
    <xf numFmtId="9" fontId="0" fillId="2" borderId="0" xfId="0" applyNumberFormat="1" applyFill="1" applyBorder="1" applyAlignment="1">
      <alignment horizontal="right" vertical="center"/>
    </xf>
    <xf numFmtId="0" fontId="0" fillId="0" borderId="0" xfId="0" applyBorder="1" applyAlignment="1">
      <alignment horizontal="right" vertical="center"/>
    </xf>
    <xf numFmtId="0" fontId="0" fillId="13" borderId="0" xfId="0" applyFill="1" applyBorder="1" applyAlignment="1">
      <alignment vertical="center"/>
    </xf>
    <xf numFmtId="0" fontId="27" fillId="0" borderId="0" xfId="0" applyFont="1" applyBorder="1" applyAlignment="1">
      <alignment vertical="center"/>
    </xf>
    <xf numFmtId="0" fontId="9" fillId="3" borderId="6" xfId="0" applyFont="1" applyFill="1" applyBorder="1" applyAlignment="1">
      <alignment vertical="center"/>
    </xf>
    <xf numFmtId="0" fontId="9" fillId="3" borderId="0" xfId="0" applyFont="1" applyFill="1" applyBorder="1" applyAlignment="1">
      <alignment horizontal="center" vertical="center"/>
    </xf>
    <xf numFmtId="0" fontId="0" fillId="0" borderId="0" xfId="0"/>
    <xf numFmtId="3" fontId="0" fillId="0" borderId="7" xfId="0" applyNumberFormat="1" applyBorder="1"/>
    <xf numFmtId="3" fontId="0" fillId="17" borderId="0" xfId="0" applyNumberFormat="1" applyFont="1" applyFill="1"/>
    <xf numFmtId="0" fontId="0" fillId="17" borderId="0" xfId="0" applyFill="1"/>
    <xf numFmtId="3" fontId="0" fillId="0" borderId="0" xfId="0" applyNumberFormat="1" applyBorder="1"/>
    <xf numFmtId="3" fontId="0" fillId="0" borderId="0" xfId="0" applyNumberFormat="1" applyFont="1" applyFill="1" applyAlignment="1">
      <alignment horizontal="right"/>
    </xf>
    <xf numFmtId="0" fontId="3" fillId="3" borderId="5" xfId="0" applyFont="1" applyFill="1" applyBorder="1" applyAlignment="1">
      <alignment horizontal="center"/>
    </xf>
    <xf numFmtId="0" fontId="36" fillId="0" borderId="0" xfId="0" applyFont="1" applyFill="1" applyBorder="1" applyAlignment="1">
      <alignment horizontal="left"/>
    </xf>
    <xf numFmtId="0" fontId="36" fillId="0" borderId="4" xfId="0" applyFont="1" applyFill="1" applyBorder="1" applyAlignment="1">
      <alignment horizontal="left"/>
    </xf>
    <xf numFmtId="170" fontId="27" fillId="0" borderId="0" xfId="0" applyNumberFormat="1" applyFont="1"/>
    <xf numFmtId="169" fontId="30" fillId="5" borderId="0" xfId="0" applyNumberFormat="1" applyFont="1" applyFill="1" applyAlignment="1">
      <alignment horizontal="center" vertical="center"/>
    </xf>
    <xf numFmtId="9" fontId="30" fillId="2" borderId="0" xfId="0" applyNumberFormat="1" applyFont="1" applyFill="1" applyBorder="1" applyAlignment="1">
      <alignment horizontal="center" vertical="center"/>
    </xf>
    <xf numFmtId="3" fontId="30" fillId="2" borderId="0" xfId="0" applyNumberFormat="1" applyFont="1" applyFill="1" applyBorder="1" applyAlignment="1">
      <alignment horizontal="center" vertical="center"/>
    </xf>
    <xf numFmtId="0" fontId="4" fillId="4" borderId="4" xfId="0" applyFont="1" applyFill="1" applyBorder="1" applyAlignment="1">
      <alignment horizontal="left"/>
    </xf>
    <xf numFmtId="0" fontId="4" fillId="0" borderId="0" xfId="0" applyFont="1" applyFill="1" applyBorder="1" applyAlignment="1">
      <alignment horizontal="left"/>
    </xf>
    <xf numFmtId="0" fontId="4" fillId="0" borderId="4" xfId="0" applyFont="1" applyFill="1" applyBorder="1" applyAlignment="1">
      <alignment horizontal="left"/>
    </xf>
    <xf numFmtId="0" fontId="4" fillId="0" borderId="0" xfId="0" quotePrefix="1" applyFont="1" applyFill="1" applyBorder="1" applyAlignment="1">
      <alignment horizontal="left"/>
    </xf>
    <xf numFmtId="0" fontId="4" fillId="0" borderId="0" xfId="0" applyFont="1" applyFill="1" applyBorder="1" applyAlignment="1">
      <alignment horizontal="left" wrapText="1"/>
    </xf>
    <xf numFmtId="0" fontId="0" fillId="0" borderId="0" xfId="0" applyFill="1" applyBorder="1"/>
    <xf numFmtId="0" fontId="18" fillId="0" borderId="0" xfId="0" applyFont="1" applyFill="1" applyBorder="1" applyAlignment="1">
      <alignment vertical="top" wrapText="1"/>
    </xf>
    <xf numFmtId="2" fontId="27" fillId="0" borderId="0" xfId="0" applyNumberFormat="1" applyFont="1" applyFill="1" applyAlignment="1">
      <alignment horizontal="right"/>
    </xf>
    <xf numFmtId="0" fontId="0" fillId="0" borderId="11" xfId="0" applyFont="1" applyFill="1" applyBorder="1"/>
    <xf numFmtId="0" fontId="0" fillId="0" borderId="12" xfId="0" applyFont="1" applyFill="1" applyBorder="1"/>
    <xf numFmtId="171" fontId="29" fillId="0" borderId="12" xfId="1" applyNumberFormat="1" applyFont="1" applyFill="1" applyBorder="1" applyAlignment="1">
      <alignment horizontal="right"/>
    </xf>
    <xf numFmtId="171" fontId="0" fillId="0" borderId="12" xfId="0" applyNumberFormat="1" applyFont="1" applyFill="1" applyBorder="1"/>
    <xf numFmtId="6" fontId="8"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9" fontId="0" fillId="0" borderId="0" xfId="0" applyNumberFormat="1" applyFont="1" applyAlignment="1">
      <alignment horizontal="center" vertical="center"/>
    </xf>
    <xf numFmtId="44" fontId="0" fillId="0" borderId="0" xfId="4" applyFont="1" applyAlignment="1">
      <alignment horizontal="center" vertical="center"/>
    </xf>
    <xf numFmtId="44" fontId="0" fillId="0" borderId="0" xfId="4" applyFont="1"/>
    <xf numFmtId="3" fontId="9" fillId="0" borderId="0" xfId="0" applyNumberFormat="1" applyFont="1" applyFill="1" applyBorder="1"/>
    <xf numFmtId="9" fontId="0" fillId="0" borderId="0" xfId="3" applyFont="1"/>
    <xf numFmtId="43" fontId="0" fillId="0" borderId="0" xfId="0" applyNumberFormat="1" applyFont="1" applyFill="1"/>
    <xf numFmtId="3" fontId="0" fillId="0" borderId="0" xfId="0" applyNumberFormat="1" applyAlignment="1">
      <alignment horizontal="right" indent="1"/>
    </xf>
    <xf numFmtId="0" fontId="0" fillId="0" borderId="0" xfId="0" applyAlignment="1">
      <alignment horizontal="right" indent="1"/>
    </xf>
    <xf numFmtId="3" fontId="0" fillId="0" borderId="0" xfId="0" applyNumberFormat="1" applyAlignment="1">
      <alignment horizontal="right"/>
    </xf>
    <xf numFmtId="0" fontId="0" fillId="0" borderId="0" xfId="0" applyAlignment="1">
      <alignment horizontal="right"/>
    </xf>
    <xf numFmtId="164" fontId="0" fillId="0" borderId="0" xfId="0" applyNumberFormat="1" applyFill="1"/>
    <xf numFmtId="0" fontId="0" fillId="22" borderId="0" xfId="0" applyFill="1"/>
    <xf numFmtId="0" fontId="4" fillId="0" borderId="5" xfId="0" applyFont="1" applyBorder="1"/>
    <xf numFmtId="0" fontId="0" fillId="0" borderId="5" xfId="0" applyBorder="1"/>
    <xf numFmtId="173" fontId="0" fillId="0" borderId="5" xfId="4" applyNumberFormat="1" applyFont="1" applyBorder="1"/>
    <xf numFmtId="0" fontId="4" fillId="0" borderId="2" xfId="0" applyFont="1" applyBorder="1"/>
    <xf numFmtId="173" fontId="0" fillId="0" borderId="2" xfId="4" applyNumberFormat="1" applyFont="1" applyBorder="1"/>
    <xf numFmtId="173" fontId="0" fillId="0" borderId="0" xfId="0" applyNumberFormat="1"/>
    <xf numFmtId="2" fontId="9" fillId="6" borderId="0" xfId="0" applyNumberFormat="1" applyFont="1" applyFill="1" applyAlignment="1">
      <alignment wrapText="1"/>
    </xf>
    <xf numFmtId="165" fontId="9" fillId="6" borderId="5" xfId="1" applyNumberFormat="1" applyFont="1" applyFill="1" applyBorder="1"/>
    <xf numFmtId="165" fontId="0" fillId="0" borderId="0" xfId="1" applyNumberFormat="1" applyFont="1" applyFill="1" applyAlignment="1"/>
    <xf numFmtId="165" fontId="0" fillId="0" borderId="0" xfId="1" applyNumberFormat="1" applyFont="1" applyFill="1" applyAlignment="1">
      <alignment wrapText="1"/>
    </xf>
    <xf numFmtId="2" fontId="9" fillId="24" borderId="0" xfId="0" applyNumberFormat="1" applyFont="1" applyFill="1"/>
    <xf numFmtId="0" fontId="4" fillId="24" borderId="4" xfId="0" applyFont="1" applyFill="1" applyBorder="1" applyAlignment="1">
      <alignment horizontal="left"/>
    </xf>
    <xf numFmtId="0" fontId="9" fillId="24" borderId="0" xfId="0" applyFont="1" applyFill="1"/>
    <xf numFmtId="168" fontId="9" fillId="24" borderId="0" xfId="0" applyNumberFormat="1" applyFont="1" applyFill="1"/>
    <xf numFmtId="165" fontId="9" fillId="24" borderId="0" xfId="1" applyNumberFormat="1" applyFont="1" applyFill="1"/>
    <xf numFmtId="2" fontId="9" fillId="25" borderId="0" xfId="0" applyNumberFormat="1" applyFont="1" applyFill="1" applyAlignment="1">
      <alignment wrapText="1"/>
    </xf>
    <xf numFmtId="0" fontId="4" fillId="25" borderId="4" xfId="0" applyFont="1" applyFill="1" applyBorder="1" applyAlignment="1">
      <alignment horizontal="left"/>
    </xf>
    <xf numFmtId="0" fontId="0" fillId="25" borderId="0" xfId="0" applyFont="1" applyFill="1"/>
    <xf numFmtId="2" fontId="0" fillId="25" borderId="0" xfId="0" applyNumberFormat="1" applyFont="1" applyFill="1"/>
    <xf numFmtId="168" fontId="0" fillId="25" borderId="0" xfId="0" applyNumberFormat="1" applyFont="1" applyFill="1"/>
    <xf numFmtId="165" fontId="9" fillId="25" borderId="5" xfId="1" applyNumberFormat="1" applyFont="1" applyFill="1" applyBorder="1"/>
    <xf numFmtId="0" fontId="34" fillId="16" borderId="0" xfId="0" applyFont="1" applyFill="1"/>
    <xf numFmtId="0" fontId="34" fillId="16" borderId="0" xfId="0" applyFont="1" applyFill="1" applyBorder="1"/>
    <xf numFmtId="169" fontId="27" fillId="0" borderId="0" xfId="0" applyNumberFormat="1" applyFont="1"/>
    <xf numFmtId="169" fontId="27" fillId="0" borderId="0" xfId="3" applyNumberFormat="1" applyFont="1"/>
    <xf numFmtId="170" fontId="27" fillId="0" borderId="0" xfId="0" applyNumberFormat="1" applyFont="1" applyFill="1"/>
    <xf numFmtId="0" fontId="4" fillId="4" borderId="4" xfId="0" applyFont="1" applyFill="1" applyBorder="1" applyAlignment="1">
      <alignment horizontal="left"/>
    </xf>
    <xf numFmtId="0" fontId="4" fillId="0" borderId="4" xfId="0" applyFont="1" applyFill="1" applyBorder="1" applyAlignment="1">
      <alignment horizontal="left"/>
    </xf>
    <xf numFmtId="0" fontId="4" fillId="10" borderId="4" xfId="0" applyFont="1" applyFill="1" applyBorder="1" applyAlignment="1">
      <alignment horizontal="left"/>
    </xf>
    <xf numFmtId="0" fontId="0" fillId="26" borderId="0" xfId="0" applyFill="1"/>
    <xf numFmtId="3" fontId="42" fillId="26" borderId="0" xfId="0" applyNumberFormat="1" applyFont="1" applyFill="1" applyBorder="1" applyAlignment="1" applyProtection="1">
      <alignment horizontal="center"/>
    </xf>
    <xf numFmtId="169" fontId="34" fillId="26" borderId="0" xfId="0" applyNumberFormat="1" applyFont="1" applyFill="1"/>
    <xf numFmtId="3" fontId="43" fillId="26" borderId="0" xfId="0" applyNumberFormat="1" applyFont="1" applyFill="1"/>
    <xf numFmtId="169" fontId="43" fillId="26" borderId="0" xfId="0" applyNumberFormat="1" applyFont="1" applyFill="1"/>
    <xf numFmtId="3" fontId="43" fillId="26" borderId="0" xfId="0" applyNumberFormat="1" applyFont="1" applyFill="1" applyBorder="1"/>
    <xf numFmtId="169" fontId="43" fillId="26" borderId="0" xfId="0" applyNumberFormat="1" applyFont="1" applyFill="1" applyBorder="1"/>
    <xf numFmtId="3" fontId="34" fillId="26" borderId="0" xfId="0" applyNumberFormat="1" applyFont="1" applyFill="1" applyBorder="1"/>
    <xf numFmtId="169" fontId="34" fillId="26" borderId="0" xfId="0" applyNumberFormat="1" applyFont="1" applyFill="1" applyBorder="1"/>
    <xf numFmtId="3" fontId="43" fillId="26" borderId="0" xfId="2" applyNumberFormat="1" applyFont="1" applyFill="1" applyBorder="1" applyAlignment="1">
      <alignment horizontal="right"/>
    </xf>
    <xf numFmtId="169" fontId="43" fillId="26" borderId="0" xfId="2" applyNumberFormat="1" applyFont="1" applyFill="1" applyBorder="1" applyAlignment="1">
      <alignment horizontal="right"/>
    </xf>
    <xf numFmtId="3" fontId="34" fillId="26" borderId="0" xfId="2" applyNumberFormat="1" applyFont="1" applyFill="1" applyBorder="1" applyAlignment="1">
      <alignment horizontal="right"/>
    </xf>
    <xf numFmtId="169" fontId="34" fillId="26" borderId="0" xfId="2" applyNumberFormat="1" applyFont="1" applyFill="1" applyBorder="1" applyAlignment="1">
      <alignment horizontal="right"/>
    </xf>
    <xf numFmtId="3" fontId="34" fillId="26" borderId="0" xfId="0" applyNumberFormat="1" applyFont="1" applyFill="1" applyBorder="1" applyAlignment="1">
      <alignment horizontal="right"/>
    </xf>
    <xf numFmtId="169" fontId="34" fillId="26" borderId="0" xfId="0" applyNumberFormat="1" applyFont="1" applyFill="1" applyBorder="1" applyAlignment="1">
      <alignment horizontal="right"/>
    </xf>
    <xf numFmtId="3" fontId="43" fillId="26" borderId="19" xfId="0" applyNumberFormat="1" applyFont="1" applyFill="1" applyBorder="1"/>
    <xf numFmtId="0" fontId="0" fillId="26" borderId="19" xfId="0" applyFill="1" applyBorder="1"/>
    <xf numFmtId="169" fontId="43" fillId="26" borderId="19" xfId="0" applyNumberFormat="1" applyFont="1" applyFill="1" applyBorder="1"/>
    <xf numFmtId="0" fontId="0" fillId="26" borderId="20" xfId="0" applyFill="1" applyBorder="1"/>
    <xf numFmtId="3" fontId="41" fillId="26" borderId="20" xfId="0" applyNumberFormat="1" applyFont="1" applyFill="1" applyBorder="1"/>
    <xf numFmtId="169" fontId="41" fillId="26" borderId="20" xfId="0" applyNumberFormat="1" applyFont="1" applyFill="1" applyBorder="1"/>
    <xf numFmtId="0" fontId="44" fillId="0" borderId="0" xfId="0" applyFont="1" applyFill="1" applyAlignment="1">
      <alignment horizontal="left"/>
    </xf>
    <xf numFmtId="0" fontId="45" fillId="0" borderId="0" xfId="0" quotePrefix="1" applyFont="1" applyFill="1" applyAlignment="1" applyProtection="1">
      <alignment horizontal="left"/>
    </xf>
    <xf numFmtId="0" fontId="45" fillId="0" borderId="0" xfId="0" applyFont="1" applyFill="1" applyAlignment="1" applyProtection="1">
      <alignment horizontal="left"/>
    </xf>
    <xf numFmtId="165" fontId="0" fillId="0" borderId="0" xfId="0" applyNumberFormat="1" applyFill="1" applyAlignment="1">
      <alignment horizontal="right"/>
    </xf>
    <xf numFmtId="3" fontId="0" fillId="0" borderId="0" xfId="0" applyNumberFormat="1" applyFill="1" applyAlignment="1">
      <alignment horizontal="right"/>
    </xf>
    <xf numFmtId="0" fontId="45" fillId="0" borderId="0" xfId="0" applyFont="1" applyFill="1" applyAlignment="1">
      <alignment horizontal="left"/>
    </xf>
    <xf numFmtId="0" fontId="0" fillId="0" borderId="0" xfId="0" applyFont="1" applyFill="1" applyAlignment="1">
      <alignment horizontal="right"/>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0" fillId="3" borderId="0" xfId="0" applyFont="1" applyFill="1" applyAlignment="1">
      <alignment horizontal="center"/>
    </xf>
    <xf numFmtId="0" fontId="0" fillId="18" borderId="0" xfId="0" applyFill="1" applyAlignment="1">
      <alignment horizontal="center" wrapText="1"/>
    </xf>
    <xf numFmtId="0" fontId="0" fillId="3" borderId="0" xfId="0" applyFont="1" applyFill="1" applyAlignment="1">
      <alignment horizontal="center" wrapText="1"/>
    </xf>
    <xf numFmtId="0" fontId="4" fillId="0" borderId="4" xfId="0" applyFont="1" applyFill="1" applyBorder="1" applyAlignment="1">
      <alignment horizontal="left"/>
    </xf>
    <xf numFmtId="0" fontId="4" fillId="0" borderId="0" xfId="0" applyFont="1" applyFill="1" applyBorder="1" applyAlignment="1">
      <alignment horizontal="left"/>
    </xf>
    <xf numFmtId="0" fontId="4" fillId="0" borderId="0" xfId="0" quotePrefix="1" applyFont="1" applyFill="1" applyBorder="1" applyAlignment="1">
      <alignment horizontal="left"/>
    </xf>
    <xf numFmtId="0" fontId="0" fillId="0" borderId="0" xfId="0" applyAlignment="1">
      <alignment horizontal="center" vertical="center"/>
    </xf>
    <xf numFmtId="0" fontId="31" fillId="8" borderId="14" xfId="0" applyFont="1" applyFill="1" applyBorder="1" applyAlignment="1">
      <alignment horizontal="center" vertical="center" wrapText="1"/>
    </xf>
    <xf numFmtId="0" fontId="31" fillId="8" borderId="15" xfId="0" applyFont="1" applyFill="1" applyBorder="1" applyAlignment="1">
      <alignment horizontal="center" vertical="center" wrapText="1"/>
    </xf>
    <xf numFmtId="44" fontId="0" fillId="0" borderId="0" xfId="4" applyNumberFormat="1" applyFont="1"/>
    <xf numFmtId="3" fontId="0" fillId="0" borderId="0" xfId="0" applyNumberFormat="1" applyFill="1" applyBorder="1" applyAlignment="1">
      <alignment horizontal="center" vertical="center" wrapText="1"/>
    </xf>
    <xf numFmtId="0" fontId="0" fillId="17" borderId="0" xfId="0" applyFill="1" applyBorder="1" applyAlignment="1">
      <alignment horizontal="center" vertical="center" wrapText="1"/>
    </xf>
    <xf numFmtId="0" fontId="0" fillId="17" borderId="0" xfId="0" applyFill="1" applyAlignment="1">
      <alignment horizontal="center"/>
    </xf>
    <xf numFmtId="0" fontId="0" fillId="0" borderId="0" xfId="0" applyFill="1" applyBorder="1" applyAlignment="1">
      <alignment horizontal="center" vertical="center" wrapText="1"/>
    </xf>
    <xf numFmtId="0" fontId="4" fillId="17" borderId="0" xfId="0" applyFont="1" applyFill="1"/>
    <xf numFmtId="0" fontId="0" fillId="17" borderId="13" xfId="0" applyFill="1" applyBorder="1" applyAlignment="1">
      <alignment horizontal="center" vertical="center" wrapText="1"/>
    </xf>
    <xf numFmtId="174" fontId="44" fillId="0" borderId="0" xfId="0" applyNumberFormat="1" applyFont="1" applyFill="1" applyAlignment="1">
      <alignment horizontal="left"/>
    </xf>
    <xf numFmtId="0" fontId="31" fillId="8" borderId="14" xfId="0" applyFont="1" applyFill="1" applyBorder="1" applyAlignment="1">
      <alignment horizontal="center" vertical="center" wrapText="1"/>
    </xf>
    <xf numFmtId="0" fontId="31" fillId="8" borderId="15" xfId="0" applyFont="1" applyFill="1" applyBorder="1" applyAlignment="1">
      <alignment horizontal="center" vertical="center" wrapText="1"/>
    </xf>
    <xf numFmtId="165" fontId="9" fillId="25" borderId="0" xfId="1" applyNumberFormat="1" applyFont="1" applyFill="1" applyBorder="1"/>
    <xf numFmtId="165" fontId="9" fillId="6" borderId="0" xfId="1" applyNumberFormat="1" applyFont="1" applyFill="1" applyBorder="1"/>
    <xf numFmtId="173" fontId="0" fillId="0" borderId="0" xfId="4" applyNumberFormat="1" applyFont="1" applyBorder="1"/>
    <xf numFmtId="165" fontId="0" fillId="6" borderId="0" xfId="1" applyNumberFormat="1" applyFont="1" applyFill="1"/>
    <xf numFmtId="0" fontId="3" fillId="0" borderId="0" xfId="0" applyFont="1" applyFill="1" applyBorder="1"/>
    <xf numFmtId="0" fontId="3" fillId="0" borderId="0" xfId="0" quotePrefix="1" applyFont="1" applyFill="1" applyBorder="1" applyAlignment="1">
      <alignment horizontal="left"/>
    </xf>
    <xf numFmtId="10" fontId="3" fillId="0" borderId="0" xfId="0" applyNumberFormat="1" applyFont="1" applyFill="1"/>
    <xf numFmtId="0" fontId="0" fillId="0" borderId="0" xfId="0" applyAlignment="1">
      <alignment wrapText="1"/>
    </xf>
    <xf numFmtId="0" fontId="0" fillId="0" borderId="0" xfId="0" applyAlignment="1">
      <alignment vertical="top" wrapText="1"/>
    </xf>
    <xf numFmtId="175" fontId="0" fillId="0" borderId="0" xfId="0" applyNumberFormat="1"/>
    <xf numFmtId="0" fontId="4" fillId="4" borderId="5" xfId="0" applyFont="1" applyFill="1" applyBorder="1"/>
    <xf numFmtId="0" fontId="4" fillId="4" borderId="27" xfId="0" applyFont="1" applyFill="1" applyBorder="1"/>
    <xf numFmtId="3" fontId="0" fillId="0" borderId="5" xfId="0" applyNumberFormat="1" applyFill="1" applyBorder="1"/>
    <xf numFmtId="3" fontId="0" fillId="17" borderId="0" xfId="0" applyNumberFormat="1" applyFill="1"/>
    <xf numFmtId="0" fontId="3" fillId="6" borderId="0" xfId="0" applyFont="1" applyFill="1"/>
    <xf numFmtId="0" fontId="9" fillId="6" borderId="0" xfId="0" applyFont="1" applyFill="1"/>
    <xf numFmtId="2" fontId="9" fillId="6" borderId="0" xfId="0" applyNumberFormat="1" applyFont="1" applyFill="1"/>
    <xf numFmtId="3" fontId="34" fillId="26" borderId="28" xfId="0" applyNumberFormat="1" applyFont="1" applyFill="1" applyBorder="1"/>
    <xf numFmtId="0" fontId="34" fillId="16" borderId="28" xfId="0" applyFont="1" applyFill="1" applyBorder="1"/>
    <xf numFmtId="3" fontId="43" fillId="26" borderId="20" xfId="2" applyNumberFormat="1" applyFont="1" applyFill="1" applyBorder="1" applyAlignment="1">
      <alignment horizontal="right"/>
    </xf>
    <xf numFmtId="0" fontId="31" fillId="26" borderId="14" xfId="0" applyFont="1" applyFill="1" applyBorder="1" applyAlignment="1">
      <alignment horizontal="center" vertical="center" wrapText="1"/>
    </xf>
    <xf numFmtId="0" fontId="31" fillId="26" borderId="15" xfId="0" applyFont="1" applyFill="1" applyBorder="1" applyAlignment="1">
      <alignment horizontal="center" vertical="center" wrapText="1"/>
    </xf>
    <xf numFmtId="3" fontId="31" fillId="8" borderId="14" xfId="0" applyNumberFormat="1" applyFont="1" applyFill="1" applyBorder="1" applyAlignment="1">
      <alignment horizontal="center" vertical="center" wrapText="1"/>
    </xf>
    <xf numFmtId="3" fontId="31" fillId="8" borderId="14" xfId="0" applyNumberFormat="1" applyFont="1" applyFill="1" applyBorder="1" applyAlignment="1">
      <alignment horizontal="left" vertical="center"/>
    </xf>
    <xf numFmtId="0" fontId="0" fillId="5" borderId="1" xfId="0" applyFill="1" applyBorder="1" applyAlignment="1"/>
    <xf numFmtId="0" fontId="0" fillId="5" borderId="2" xfId="0" applyFill="1" applyBorder="1" applyAlignment="1"/>
    <xf numFmtId="0" fontId="0" fillId="5" borderId="3" xfId="0" applyFill="1" applyBorder="1" applyAlignment="1"/>
    <xf numFmtId="168" fontId="0" fillId="6" borderId="0" xfId="0" applyNumberFormat="1" applyFill="1"/>
    <xf numFmtId="43" fontId="0" fillId="6" borderId="0" xfId="0" applyNumberFormat="1" applyFont="1" applyFill="1"/>
    <xf numFmtId="0" fontId="9" fillId="27" borderId="0" xfId="0" applyFont="1" applyFill="1"/>
    <xf numFmtId="165" fontId="9" fillId="27" borderId="0" xfId="1" applyNumberFormat="1" applyFont="1" applyFill="1" applyAlignment="1">
      <alignment wrapText="1"/>
    </xf>
    <xf numFmtId="0" fontId="9" fillId="27" borderId="0" xfId="0" applyFont="1" applyFill="1" applyBorder="1" applyAlignment="1">
      <alignment horizontal="left" vertical="center" wrapText="1"/>
    </xf>
    <xf numFmtId="165" fontId="0" fillId="27" borderId="0" xfId="1" applyNumberFormat="1" applyFont="1" applyFill="1" applyBorder="1" applyAlignment="1">
      <alignment horizontal="left" vertical="center" wrapText="1"/>
    </xf>
    <xf numFmtId="0" fontId="0" fillId="27" borderId="0" xfId="0" applyFill="1"/>
    <xf numFmtId="0" fontId="0" fillId="0" borderId="5" xfId="0" applyFont="1" applyFill="1" applyBorder="1" applyAlignment="1">
      <alignment horizontal="left" vertical="center" wrapText="1"/>
    </xf>
    <xf numFmtId="173" fontId="0" fillId="0" borderId="0" xfId="4" applyNumberFormat="1" applyFont="1" applyFill="1" applyBorder="1" applyAlignment="1">
      <alignment horizontal="center" vertical="center" wrapText="1"/>
    </xf>
    <xf numFmtId="173" fontId="0" fillId="0" borderId="0" xfId="4" applyNumberFormat="1" applyFont="1" applyFill="1"/>
    <xf numFmtId="173" fontId="0" fillId="0" borderId="0" xfId="4" applyNumberFormat="1" applyFont="1" applyAlignment="1">
      <alignment horizontal="left"/>
    </xf>
    <xf numFmtId="0" fontId="3" fillId="0" borderId="0" xfId="0" applyFont="1" applyFill="1" applyBorder="1" applyAlignment="1">
      <alignment horizontal="left"/>
    </xf>
    <xf numFmtId="0" fontId="9" fillId="0" borderId="0" xfId="0" applyFont="1" applyBorder="1" applyAlignment="1">
      <alignment horizontal="right" vertical="center" wrapText="1"/>
    </xf>
    <xf numFmtId="173" fontId="9" fillId="0" borderId="0" xfId="4" applyNumberFormat="1" applyFont="1"/>
    <xf numFmtId="165" fontId="9" fillId="0" borderId="0" xfId="1" applyNumberFormat="1" applyFont="1"/>
    <xf numFmtId="44" fontId="9" fillId="0" borderId="0" xfId="4" applyNumberFormat="1" applyFont="1"/>
    <xf numFmtId="44" fontId="9" fillId="0" borderId="0" xfId="4" applyFont="1"/>
    <xf numFmtId="176" fontId="0" fillId="0" borderId="0" xfId="1" applyNumberFormat="1" applyFont="1" applyAlignment="1">
      <alignment vertical="center"/>
    </xf>
    <xf numFmtId="3" fontId="0" fillId="0" borderId="0" xfId="0" applyNumberFormat="1" applyAlignment="1">
      <alignment vertical="center"/>
    </xf>
    <xf numFmtId="165" fontId="0" fillId="0" borderId="0" xfId="1" applyNumberFormat="1" applyFont="1" applyBorder="1" applyAlignment="1">
      <alignment horizontal="center"/>
    </xf>
    <xf numFmtId="0" fontId="46" fillId="3" borderId="0" xfId="0" applyFont="1" applyFill="1" applyAlignment="1">
      <alignment horizontal="center"/>
    </xf>
    <xf numFmtId="0" fontId="46" fillId="3" borderId="0" xfId="0" applyFont="1" applyFill="1" applyAlignment="1">
      <alignment horizontal="center" vertical="center"/>
    </xf>
    <xf numFmtId="0" fontId="46" fillId="3" borderId="0" xfId="0" applyFont="1" applyFill="1"/>
    <xf numFmtId="165" fontId="0" fillId="0" borderId="0" xfId="1" applyNumberFormat="1" applyFont="1" applyAlignment="1"/>
    <xf numFmtId="0" fontId="9" fillId="0" borderId="0" xfId="0" applyFont="1" applyAlignment="1">
      <alignment horizontal="center"/>
    </xf>
    <xf numFmtId="165" fontId="0" fillId="0" borderId="5" xfId="1" applyNumberFormat="1" applyFont="1" applyBorder="1"/>
    <xf numFmtId="0" fontId="9" fillId="17" borderId="0" xfId="0" applyFont="1" applyFill="1" applyBorder="1" applyAlignment="1">
      <alignment horizontal="left" vertical="center" wrapText="1"/>
    </xf>
    <xf numFmtId="0" fontId="18" fillId="0" borderId="0" xfId="0" applyFont="1"/>
    <xf numFmtId="0" fontId="20" fillId="3" borderId="13" xfId="0" applyFont="1" applyFill="1" applyBorder="1"/>
    <xf numFmtId="0" fontId="36" fillId="3" borderId="22" xfId="0" applyFont="1" applyFill="1" applyBorder="1" applyAlignment="1">
      <alignment horizontal="left"/>
    </xf>
    <xf numFmtId="0" fontId="27" fillId="3" borderId="13" xfId="0" applyFont="1" applyFill="1" applyBorder="1"/>
    <xf numFmtId="0" fontId="27" fillId="6" borderId="13" xfId="0" applyFont="1" applyFill="1" applyBorder="1"/>
    <xf numFmtId="3" fontId="47" fillId="28" borderId="29" xfId="7" applyNumberFormat="1"/>
    <xf numFmtId="3" fontId="27" fillId="17" borderId="0" xfId="0" applyNumberFormat="1" applyFont="1" applyFill="1"/>
    <xf numFmtId="165" fontId="9" fillId="6" borderId="13" xfId="1" applyNumberFormat="1" applyFont="1" applyFill="1" applyBorder="1"/>
    <xf numFmtId="168" fontId="0" fillId="25" borderId="13" xfId="0" applyNumberFormat="1" applyFont="1" applyFill="1" applyBorder="1"/>
    <xf numFmtId="165" fontId="0" fillId="0" borderId="0" xfId="0" applyNumberFormat="1"/>
    <xf numFmtId="165" fontId="9" fillId="0" borderId="0" xfId="0" applyNumberFormat="1" applyFont="1"/>
    <xf numFmtId="0" fontId="0" fillId="0" borderId="0" xfId="0" applyAlignment="1"/>
    <xf numFmtId="0" fontId="3" fillId="3" borderId="0" xfId="0" applyFont="1" applyFill="1" applyBorder="1" applyAlignment="1">
      <alignment horizontal="left"/>
    </xf>
    <xf numFmtId="0" fontId="0" fillId="2" borderId="0" xfId="0" applyFill="1" applyAlignment="1">
      <alignment horizontal="center"/>
    </xf>
    <xf numFmtId="0" fontId="0" fillId="2" borderId="0" xfId="0" applyFont="1" applyFill="1" applyAlignment="1">
      <alignment horizontal="center" vertical="center"/>
    </xf>
    <xf numFmtId="0" fontId="3" fillId="0" borderId="0" xfId="0" applyFont="1" applyBorder="1" applyAlignment="1">
      <alignment vertical="center" wrapText="1"/>
    </xf>
    <xf numFmtId="165" fontId="18" fillId="5" borderId="0" xfId="1" applyNumberFormat="1" applyFont="1" applyFill="1" applyBorder="1" applyAlignment="1">
      <alignment horizontal="right" vertical="center"/>
    </xf>
    <xf numFmtId="6" fontId="18" fillId="0" borderId="0" xfId="0" applyNumberFormat="1" applyFont="1" applyFill="1" applyBorder="1" applyAlignment="1">
      <alignment vertical="top" wrapText="1"/>
    </xf>
    <xf numFmtId="6" fontId="0" fillId="0" borderId="0" xfId="0" applyNumberFormat="1" applyFill="1" applyAlignment="1">
      <alignment wrapText="1"/>
    </xf>
    <xf numFmtId="0" fontId="27" fillId="19" borderId="13" xfId="0" applyFont="1" applyFill="1" applyBorder="1"/>
    <xf numFmtId="6" fontId="27" fillId="19" borderId="13" xfId="0" applyNumberFormat="1" applyFont="1" applyFill="1" applyBorder="1"/>
    <xf numFmtId="0" fontId="0" fillId="19" borderId="13" xfId="0" applyFill="1" applyBorder="1"/>
    <xf numFmtId="0" fontId="0" fillId="19" borderId="13" xfId="0" applyFill="1" applyBorder="1" applyAlignment="1">
      <alignment vertical="center"/>
    </xf>
    <xf numFmtId="6" fontId="0" fillId="19" borderId="13" xfId="0" applyNumberFormat="1" applyFill="1" applyBorder="1" applyAlignment="1">
      <alignment vertical="center"/>
    </xf>
    <xf numFmtId="0" fontId="2" fillId="5" borderId="0" xfId="0" applyFont="1" applyFill="1" applyBorder="1"/>
    <xf numFmtId="0" fontId="36" fillId="4" borderId="0" xfId="0" applyFont="1" applyFill="1" applyBorder="1" applyAlignment="1">
      <alignment horizontal="left"/>
    </xf>
    <xf numFmtId="0" fontId="36" fillId="4" borderId="4" xfId="0" applyFont="1" applyFill="1" applyBorder="1" applyAlignment="1">
      <alignment horizontal="left"/>
    </xf>
    <xf numFmtId="0" fontId="36" fillId="0" borderId="0" xfId="0" applyFont="1" applyFill="1" applyBorder="1" applyAlignment="1">
      <alignment horizontal="left"/>
    </xf>
    <xf numFmtId="0" fontId="36" fillId="0" borderId="4" xfId="0" applyFont="1" applyFill="1" applyBorder="1" applyAlignment="1">
      <alignment horizontal="left"/>
    </xf>
    <xf numFmtId="0" fontId="35" fillId="3" borderId="0" xfId="0" applyFont="1" applyFill="1" applyAlignment="1">
      <alignment horizontal="left"/>
    </xf>
    <xf numFmtId="0" fontId="36" fillId="0" borderId="0" xfId="0" applyFont="1" applyBorder="1" applyAlignment="1">
      <alignment horizontal="left"/>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8" fillId="0" borderId="0" xfId="0" applyFont="1" applyFill="1" applyBorder="1" applyAlignment="1">
      <alignment horizontal="left" vertical="top" wrapText="1"/>
    </xf>
    <xf numFmtId="0" fontId="14" fillId="0" borderId="1" xfId="0" applyFont="1" applyBorder="1" applyAlignment="1">
      <alignment horizontal="center" vertical="center"/>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0" fillId="0" borderId="5" xfId="0" applyBorder="1" applyAlignment="1">
      <alignment horizontal="center"/>
    </xf>
    <xf numFmtId="0" fontId="9" fillId="0" borderId="0" xfId="0" applyFont="1" applyFill="1" applyBorder="1" applyAlignment="1">
      <alignment horizontal="left" vertical="top" wrapText="1"/>
    </xf>
    <xf numFmtId="0" fontId="15" fillId="0" borderId="1" xfId="0" applyFont="1" applyBorder="1" applyAlignment="1">
      <alignment horizontal="center" vertical="center"/>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4" fillId="0" borderId="4" xfId="0" applyFont="1" applyFill="1" applyBorder="1" applyAlignment="1">
      <alignment horizontal="left"/>
    </xf>
    <xf numFmtId="0" fontId="4" fillId="4" borderId="4" xfId="0" applyFont="1" applyFill="1" applyBorder="1" applyAlignment="1">
      <alignment horizontal="left"/>
    </xf>
    <xf numFmtId="0" fontId="4" fillId="10" borderId="4" xfId="0" applyFont="1" applyFill="1" applyBorder="1" applyAlignment="1">
      <alignment horizontal="left"/>
    </xf>
    <xf numFmtId="0" fontId="4" fillId="0" borderId="0" xfId="0" applyFont="1" applyFill="1" applyBorder="1" applyAlignment="1">
      <alignment horizontal="left"/>
    </xf>
    <xf numFmtId="0" fontId="4" fillId="4" borderId="0" xfId="0" applyFont="1" applyFill="1" applyBorder="1" applyAlignment="1">
      <alignment horizontal="left"/>
    </xf>
    <xf numFmtId="0" fontId="0" fillId="5" borderId="1"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4" fillId="0" borderId="0" xfId="0" applyFont="1" applyFill="1" applyBorder="1" applyAlignment="1">
      <alignment horizontal="left" wrapText="1"/>
    </xf>
    <xf numFmtId="0" fontId="5" fillId="3" borderId="0" xfId="0" applyFont="1" applyFill="1" applyAlignment="1">
      <alignment horizontal="left"/>
    </xf>
    <xf numFmtId="49" fontId="4" fillId="0" borderId="0" xfId="0" quotePrefix="1" applyNumberFormat="1" applyFont="1" applyFill="1" applyBorder="1" applyAlignment="1">
      <alignment horizontal="left"/>
    </xf>
    <xf numFmtId="49" fontId="4" fillId="0" borderId="4" xfId="0" quotePrefix="1" applyNumberFormat="1" applyFont="1" applyFill="1" applyBorder="1" applyAlignment="1">
      <alignment horizontal="left"/>
    </xf>
    <xf numFmtId="0" fontId="4" fillId="0" borderId="0" xfId="0" quotePrefix="1" applyFont="1" applyFill="1" applyBorder="1" applyAlignment="1">
      <alignment horizontal="left"/>
    </xf>
    <xf numFmtId="0" fontId="3" fillId="0" borderId="0" xfId="0" applyFont="1" applyFill="1" applyBorder="1" applyAlignment="1">
      <alignment horizontal="left"/>
    </xf>
    <xf numFmtId="0" fontId="3" fillId="0" borderId="4" xfId="0" applyFont="1" applyFill="1" applyBorder="1" applyAlignment="1">
      <alignment horizontal="left"/>
    </xf>
    <xf numFmtId="49" fontId="4" fillId="0" borderId="0" xfId="0" applyNumberFormat="1" applyFont="1" applyFill="1" applyBorder="1" applyAlignment="1">
      <alignment horizontal="left"/>
    </xf>
    <xf numFmtId="49" fontId="4" fillId="0" borderId="4" xfId="0" applyNumberFormat="1" applyFont="1" applyFill="1" applyBorder="1" applyAlignment="1">
      <alignment horizontal="left"/>
    </xf>
    <xf numFmtId="0" fontId="3" fillId="0" borderId="0" xfId="0" quotePrefix="1" applyFont="1" applyFill="1" applyBorder="1" applyAlignment="1">
      <alignment horizontal="left"/>
    </xf>
    <xf numFmtId="0" fontId="4" fillId="17" borderId="0" xfId="0" quotePrefix="1" applyFont="1" applyFill="1" applyBorder="1" applyAlignment="1">
      <alignment horizontal="left"/>
    </xf>
    <xf numFmtId="0" fontId="4" fillId="17" borderId="4" xfId="0" applyFont="1" applyFill="1" applyBorder="1" applyAlignment="1">
      <alignment horizontal="left"/>
    </xf>
    <xf numFmtId="49" fontId="3" fillId="0" borderId="0" xfId="0" quotePrefix="1" applyNumberFormat="1" applyFont="1" applyFill="1" applyBorder="1" applyAlignment="1">
      <alignment horizontal="left"/>
    </xf>
    <xf numFmtId="49" fontId="3" fillId="0" borderId="4" xfId="0" quotePrefix="1" applyNumberFormat="1" applyFont="1" applyFill="1" applyBorder="1" applyAlignment="1">
      <alignment horizontal="left"/>
    </xf>
    <xf numFmtId="0" fontId="4" fillId="3" borderId="0" xfId="0" applyFont="1" applyFill="1" applyBorder="1" applyAlignment="1">
      <alignment horizontal="left"/>
    </xf>
    <xf numFmtId="0" fontId="4" fillId="3" borderId="4" xfId="0" applyFont="1" applyFill="1" applyBorder="1" applyAlignment="1">
      <alignment horizontal="left"/>
    </xf>
    <xf numFmtId="0" fontId="9" fillId="3" borderId="0" xfId="0" applyFont="1" applyFill="1" applyBorder="1" applyAlignment="1">
      <alignment horizontal="left" vertical="top" wrapText="1"/>
    </xf>
    <xf numFmtId="0" fontId="0" fillId="0" borderId="0" xfId="0" applyAlignment="1">
      <alignment horizontal="center" vertical="center"/>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9" fillId="3" borderId="0" xfId="0" applyFont="1" applyFill="1" applyBorder="1" applyAlignment="1">
      <alignment horizontal="center" vertical="center" wrapText="1"/>
    </xf>
    <xf numFmtId="0" fontId="27" fillId="8" borderId="0" xfId="0" applyFont="1" applyFill="1" applyAlignment="1">
      <alignment horizontal="left" vertical="center" wrapText="1"/>
    </xf>
    <xf numFmtId="0" fontId="19" fillId="7" borderId="0" xfId="0" applyFont="1" applyFill="1" applyAlignment="1">
      <alignment horizontal="right" vertical="center"/>
    </xf>
    <xf numFmtId="0" fontId="19" fillId="7" borderId="13" xfId="0" applyFont="1" applyFill="1" applyBorder="1" applyAlignment="1">
      <alignment horizontal="right" vertical="center"/>
    </xf>
    <xf numFmtId="0" fontId="18" fillId="6" borderId="8" xfId="0" applyFont="1" applyFill="1" applyBorder="1" applyAlignment="1">
      <alignment horizontal="center" vertical="center" wrapText="1"/>
    </xf>
    <xf numFmtId="0" fontId="18" fillId="6" borderId="9"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10"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9"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12" fillId="14" borderId="0" xfId="0" applyFont="1" applyFill="1" applyBorder="1" applyAlignment="1">
      <alignment horizontal="right"/>
    </xf>
    <xf numFmtId="0" fontId="26" fillId="6" borderId="0" xfId="0" applyFont="1" applyFill="1" applyAlignment="1">
      <alignment horizontal="left" vertical="center"/>
    </xf>
    <xf numFmtId="0" fontId="27" fillId="6" borderId="0" xfId="0" applyFont="1" applyFill="1" applyAlignment="1">
      <alignment horizontal="left" vertical="center"/>
    </xf>
    <xf numFmtId="0" fontId="25" fillId="6" borderId="0" xfId="0" applyFont="1" applyFill="1" applyAlignment="1">
      <alignment horizontal="left" vertical="center"/>
    </xf>
    <xf numFmtId="0" fontId="27" fillId="8" borderId="0" xfId="0" applyFont="1" applyFill="1" applyAlignment="1">
      <alignment horizontal="left" vertical="center"/>
    </xf>
    <xf numFmtId="0" fontId="21" fillId="0" borderId="0" xfId="0" applyFont="1" applyAlignment="1">
      <alignment horizontal="center" vertical="center"/>
    </xf>
    <xf numFmtId="0" fontId="18" fillId="6" borderId="10" xfId="0" applyFont="1" applyFill="1" applyBorder="1" applyAlignment="1">
      <alignment horizontal="center" vertical="center" wrapText="1"/>
    </xf>
    <xf numFmtId="0" fontId="24" fillId="6" borderId="8" xfId="0" applyFont="1" applyFill="1" applyBorder="1" applyAlignment="1">
      <alignment horizontal="center" vertical="center" wrapText="1"/>
    </xf>
    <xf numFmtId="0" fontId="24" fillId="6" borderId="9" xfId="0" applyFont="1" applyFill="1" applyBorder="1" applyAlignment="1">
      <alignment horizontal="center" vertical="center" wrapText="1"/>
    </xf>
    <xf numFmtId="0" fontId="24" fillId="6" borderId="10" xfId="0" applyFont="1" applyFill="1" applyBorder="1" applyAlignment="1">
      <alignment horizontal="center" vertical="center" wrapText="1"/>
    </xf>
    <xf numFmtId="0" fontId="22" fillId="6" borderId="8" xfId="0" applyFont="1" applyFill="1" applyBorder="1" applyAlignment="1">
      <alignment horizontal="center" vertical="center" wrapText="1"/>
    </xf>
    <xf numFmtId="0" fontId="22" fillId="6" borderId="9" xfId="0" applyFont="1" applyFill="1" applyBorder="1" applyAlignment="1">
      <alignment horizontal="center" vertical="center" wrapText="1"/>
    </xf>
    <xf numFmtId="0" fontId="22" fillId="6" borderId="10" xfId="0" applyFont="1" applyFill="1" applyBorder="1" applyAlignment="1">
      <alignment horizontal="center" vertical="center" wrapText="1"/>
    </xf>
    <xf numFmtId="3" fontId="23" fillId="6" borderId="8" xfId="0" applyNumberFormat="1" applyFont="1" applyFill="1" applyBorder="1" applyAlignment="1">
      <alignment horizontal="center" vertical="center" wrapText="1"/>
    </xf>
    <xf numFmtId="0" fontId="19" fillId="7" borderId="6" xfId="0" applyFont="1" applyFill="1" applyBorder="1" applyAlignment="1">
      <alignment horizontal="right" vertical="center"/>
    </xf>
    <xf numFmtId="0" fontId="19" fillId="7" borderId="0" xfId="0" applyFont="1" applyFill="1" applyBorder="1" applyAlignment="1">
      <alignment horizontal="right" vertical="center"/>
    </xf>
  </cellXfs>
  <cellStyles count="8">
    <cellStyle name="Calculation" xfId="7" builtinId="22"/>
    <cellStyle name="Comma" xfId="1" builtinId="3"/>
    <cellStyle name="Comma 3" xfId="2" xr:uid="{00000000-0005-0000-0000-000001000000}"/>
    <cellStyle name="Currency" xfId="4" builtinId="4"/>
    <cellStyle name="Neutral" xfId="5" builtinId="28"/>
    <cellStyle name="Normal" xfId="0" builtinId="0"/>
    <cellStyle name="Normal 2" xfId="6" xr:uid="{00000000-0005-0000-0000-000007000000}"/>
    <cellStyle name="Percent" xfId="3" builtinId="5"/>
  </cellStyles>
  <dxfs count="0"/>
  <tableStyles count="0" defaultTableStyle="TableStyleMedium9" defaultPivotStyle="PivotStyleLight16"/>
  <colors>
    <mruColors>
      <color rgb="FFDCE6F1"/>
      <color rgb="FFB8CCE4"/>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10</xdr:col>
      <xdr:colOff>466725</xdr:colOff>
      <xdr:row>0</xdr:row>
      <xdr:rowOff>114300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952875" y="11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CA" sz="1100"/>
        </a:p>
      </xdr:txBody>
    </xdr:sp>
    <xdr:clientData/>
  </xdr:oneCellAnchor>
  <xdr:twoCellAnchor editAs="oneCell">
    <xdr:from>
      <xdr:col>22</xdr:col>
      <xdr:colOff>416111</xdr:colOff>
      <xdr:row>208</xdr:row>
      <xdr:rowOff>94505</xdr:rowOff>
    </xdr:from>
    <xdr:to>
      <xdr:col>28</xdr:col>
      <xdr:colOff>124118</xdr:colOff>
      <xdr:row>240</xdr:row>
      <xdr:rowOff>177802</xdr:rowOff>
    </xdr:to>
    <xdr:pic>
      <xdr:nvPicPr>
        <xdr:cNvPr id="3" name="Picture 2">
          <a:extLst>
            <a:ext uri="{FF2B5EF4-FFF2-40B4-BE49-F238E27FC236}">
              <a16:creationId xmlns:a16="http://schemas.microsoft.com/office/drawing/2014/main" id="{4A8537DE-78B8-4591-9882-C4AB37FD0176}"/>
            </a:ext>
          </a:extLst>
        </xdr:cNvPr>
        <xdr:cNvPicPr>
          <a:picLocks noChangeAspect="1"/>
        </xdr:cNvPicPr>
      </xdr:nvPicPr>
      <xdr:blipFill>
        <a:blip xmlns:r="http://schemas.openxmlformats.org/officeDocument/2006/relationships" r:embed="rId1"/>
        <a:stretch>
          <a:fillRect/>
        </a:stretch>
      </xdr:blipFill>
      <xdr:spPr>
        <a:xfrm>
          <a:off x="26716317" y="39785740"/>
          <a:ext cx="3332362" cy="65778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609600</xdr:colOff>
      <xdr:row>86</xdr:row>
      <xdr:rowOff>50800</xdr:rowOff>
    </xdr:from>
    <xdr:to>
      <xdr:col>27</xdr:col>
      <xdr:colOff>306298</xdr:colOff>
      <xdr:row>89</xdr:row>
      <xdr:rowOff>55585</xdr:rowOff>
    </xdr:to>
    <xdr:pic>
      <xdr:nvPicPr>
        <xdr:cNvPr id="4" name="Picture 3">
          <a:extLst>
            <a:ext uri="{FF2B5EF4-FFF2-40B4-BE49-F238E27FC236}">
              <a16:creationId xmlns:a16="http://schemas.microsoft.com/office/drawing/2014/main" id="{CD6BA968-0051-4518-BA00-5D8AA7BA0C14}"/>
            </a:ext>
          </a:extLst>
        </xdr:cNvPr>
        <xdr:cNvPicPr>
          <a:picLocks noChangeAspect="1"/>
        </xdr:cNvPicPr>
      </xdr:nvPicPr>
      <xdr:blipFill>
        <a:blip xmlns:r="http://schemas.openxmlformats.org/officeDocument/2006/relationships" r:embed="rId1"/>
        <a:stretch>
          <a:fillRect/>
        </a:stretch>
      </xdr:blipFill>
      <xdr:spPr>
        <a:xfrm>
          <a:off x="20662900" y="17506950"/>
          <a:ext cx="7443698" cy="563585"/>
        </a:xfrm>
        <a:prstGeom prst="rect">
          <a:avLst/>
        </a:prstGeom>
      </xdr:spPr>
    </xdr:pic>
    <xdr:clientData/>
  </xdr:twoCellAnchor>
  <xdr:twoCellAnchor editAs="oneCell">
    <xdr:from>
      <xdr:col>15</xdr:col>
      <xdr:colOff>228600</xdr:colOff>
      <xdr:row>127</xdr:row>
      <xdr:rowOff>82551</xdr:rowOff>
    </xdr:from>
    <xdr:to>
      <xdr:col>20</xdr:col>
      <xdr:colOff>114975</xdr:colOff>
      <xdr:row>145</xdr:row>
      <xdr:rowOff>133351</xdr:rowOff>
    </xdr:to>
    <xdr:pic>
      <xdr:nvPicPr>
        <xdr:cNvPr id="2" name="Picture 1">
          <a:extLst>
            <a:ext uri="{FF2B5EF4-FFF2-40B4-BE49-F238E27FC236}">
              <a16:creationId xmlns:a16="http://schemas.microsoft.com/office/drawing/2014/main" id="{2CCA75AF-9047-417E-9555-321AA0C3CBD9}"/>
            </a:ext>
          </a:extLst>
        </xdr:cNvPr>
        <xdr:cNvPicPr>
          <a:picLocks noChangeAspect="1"/>
        </xdr:cNvPicPr>
      </xdr:nvPicPr>
      <xdr:blipFill>
        <a:blip xmlns:r="http://schemas.openxmlformats.org/officeDocument/2006/relationships" r:embed="rId2"/>
        <a:stretch>
          <a:fillRect/>
        </a:stretch>
      </xdr:blipFill>
      <xdr:spPr>
        <a:xfrm>
          <a:off x="17983200" y="26155651"/>
          <a:ext cx="5417225" cy="3365500"/>
        </a:xfrm>
        <a:prstGeom prst="rect">
          <a:avLst/>
        </a:prstGeom>
      </xdr:spPr>
    </xdr:pic>
    <xdr:clientData/>
  </xdr:twoCellAnchor>
  <xdr:twoCellAnchor editAs="oneCell">
    <xdr:from>
      <xdr:col>13</xdr:col>
      <xdr:colOff>114300</xdr:colOff>
      <xdr:row>49</xdr:row>
      <xdr:rowOff>19051</xdr:rowOff>
    </xdr:from>
    <xdr:to>
      <xdr:col>17</xdr:col>
      <xdr:colOff>525421</xdr:colOff>
      <xdr:row>64</xdr:row>
      <xdr:rowOff>44451</xdr:rowOff>
    </xdr:to>
    <xdr:pic>
      <xdr:nvPicPr>
        <xdr:cNvPr id="3" name="Picture 2">
          <a:extLst>
            <a:ext uri="{FF2B5EF4-FFF2-40B4-BE49-F238E27FC236}">
              <a16:creationId xmlns:a16="http://schemas.microsoft.com/office/drawing/2014/main" id="{EA150D6B-8F1E-4633-87C1-215FD63C3C88}"/>
            </a:ext>
          </a:extLst>
        </xdr:cNvPr>
        <xdr:cNvPicPr>
          <a:picLocks noChangeAspect="1"/>
        </xdr:cNvPicPr>
      </xdr:nvPicPr>
      <xdr:blipFill>
        <a:blip xmlns:r="http://schemas.openxmlformats.org/officeDocument/2006/relationships" r:embed="rId3"/>
        <a:stretch>
          <a:fillRect/>
        </a:stretch>
      </xdr:blipFill>
      <xdr:spPr>
        <a:xfrm>
          <a:off x="15468600" y="9347201"/>
          <a:ext cx="5103771" cy="4095750"/>
        </a:xfrm>
        <a:prstGeom prst="rect">
          <a:avLst/>
        </a:prstGeom>
      </xdr:spPr>
    </xdr:pic>
    <xdr:clientData/>
  </xdr:twoCellAnchor>
  <xdr:twoCellAnchor editAs="oneCell">
    <xdr:from>
      <xdr:col>13</xdr:col>
      <xdr:colOff>127001</xdr:colOff>
      <xdr:row>64</xdr:row>
      <xdr:rowOff>38100</xdr:rowOff>
    </xdr:from>
    <xdr:to>
      <xdr:col>17</xdr:col>
      <xdr:colOff>541799</xdr:colOff>
      <xdr:row>89</xdr:row>
      <xdr:rowOff>88164</xdr:rowOff>
    </xdr:to>
    <xdr:pic>
      <xdr:nvPicPr>
        <xdr:cNvPr id="5" name="Picture 4">
          <a:extLst>
            <a:ext uri="{FF2B5EF4-FFF2-40B4-BE49-F238E27FC236}">
              <a16:creationId xmlns:a16="http://schemas.microsoft.com/office/drawing/2014/main" id="{2C5EFA01-0DF2-4384-928E-6DA994B17326}"/>
            </a:ext>
          </a:extLst>
        </xdr:cNvPr>
        <xdr:cNvPicPr>
          <a:picLocks noChangeAspect="1"/>
        </xdr:cNvPicPr>
      </xdr:nvPicPr>
      <xdr:blipFill>
        <a:blip xmlns:r="http://schemas.openxmlformats.org/officeDocument/2006/relationships" r:embed="rId4"/>
        <a:stretch>
          <a:fillRect/>
        </a:stretch>
      </xdr:blipFill>
      <xdr:spPr>
        <a:xfrm>
          <a:off x="15481301" y="13436600"/>
          <a:ext cx="5120148" cy="4660164"/>
        </a:xfrm>
        <a:prstGeom prst="rect">
          <a:avLst/>
        </a:prstGeom>
      </xdr:spPr>
    </xdr:pic>
    <xdr:clientData/>
  </xdr:twoCellAnchor>
  <xdr:twoCellAnchor editAs="oneCell">
    <xdr:from>
      <xdr:col>15</xdr:col>
      <xdr:colOff>120651</xdr:colOff>
      <xdr:row>10</xdr:row>
      <xdr:rowOff>19050</xdr:rowOff>
    </xdr:from>
    <xdr:to>
      <xdr:col>20</xdr:col>
      <xdr:colOff>590695</xdr:colOff>
      <xdr:row>30</xdr:row>
      <xdr:rowOff>19050</xdr:rowOff>
    </xdr:to>
    <xdr:pic>
      <xdr:nvPicPr>
        <xdr:cNvPr id="6" name="Picture 5">
          <a:extLst>
            <a:ext uri="{FF2B5EF4-FFF2-40B4-BE49-F238E27FC236}">
              <a16:creationId xmlns:a16="http://schemas.microsoft.com/office/drawing/2014/main" id="{BEBC5FFE-98B3-4543-80B4-20FD36D23CBF}"/>
            </a:ext>
          </a:extLst>
        </xdr:cNvPr>
        <xdr:cNvPicPr>
          <a:picLocks noChangeAspect="1"/>
        </xdr:cNvPicPr>
      </xdr:nvPicPr>
      <xdr:blipFill>
        <a:blip xmlns:r="http://schemas.openxmlformats.org/officeDocument/2006/relationships" r:embed="rId5"/>
        <a:stretch>
          <a:fillRect/>
        </a:stretch>
      </xdr:blipFill>
      <xdr:spPr>
        <a:xfrm>
          <a:off x="17875251" y="2165350"/>
          <a:ext cx="6000894" cy="3683000"/>
        </a:xfrm>
        <a:prstGeom prst="rect">
          <a:avLst/>
        </a:prstGeom>
      </xdr:spPr>
    </xdr:pic>
    <xdr:clientData/>
  </xdr:twoCellAnchor>
  <xdr:twoCellAnchor editAs="oneCell">
    <xdr:from>
      <xdr:col>15</xdr:col>
      <xdr:colOff>711200</xdr:colOff>
      <xdr:row>219</xdr:row>
      <xdr:rowOff>152400</xdr:rowOff>
    </xdr:from>
    <xdr:to>
      <xdr:col>20</xdr:col>
      <xdr:colOff>64837</xdr:colOff>
      <xdr:row>250</xdr:row>
      <xdr:rowOff>139700</xdr:rowOff>
    </xdr:to>
    <xdr:pic>
      <xdr:nvPicPr>
        <xdr:cNvPr id="8" name="Picture 7">
          <a:extLst>
            <a:ext uri="{FF2B5EF4-FFF2-40B4-BE49-F238E27FC236}">
              <a16:creationId xmlns:a16="http://schemas.microsoft.com/office/drawing/2014/main" id="{6FF99FFF-A74A-46E5-A4FC-EC7CEF1C1A27}"/>
            </a:ext>
          </a:extLst>
        </xdr:cNvPr>
        <xdr:cNvPicPr>
          <a:picLocks noChangeAspect="1"/>
        </xdr:cNvPicPr>
      </xdr:nvPicPr>
      <xdr:blipFill>
        <a:blip xmlns:r="http://schemas.openxmlformats.org/officeDocument/2006/relationships" r:embed="rId6"/>
        <a:stretch>
          <a:fillRect/>
        </a:stretch>
      </xdr:blipFill>
      <xdr:spPr>
        <a:xfrm>
          <a:off x="18465800" y="44405550"/>
          <a:ext cx="4884487" cy="5708650"/>
        </a:xfrm>
        <a:prstGeom prst="rect">
          <a:avLst/>
        </a:prstGeom>
      </xdr:spPr>
    </xdr:pic>
    <xdr:clientData/>
  </xdr:twoCellAnchor>
  <xdr:twoCellAnchor editAs="oneCell">
    <xdr:from>
      <xdr:col>15</xdr:col>
      <xdr:colOff>57150</xdr:colOff>
      <xdr:row>204</xdr:row>
      <xdr:rowOff>82550</xdr:rowOff>
    </xdr:from>
    <xdr:to>
      <xdr:col>18</xdr:col>
      <xdr:colOff>201284</xdr:colOff>
      <xdr:row>217</xdr:row>
      <xdr:rowOff>158750</xdr:rowOff>
    </xdr:to>
    <xdr:pic>
      <xdr:nvPicPr>
        <xdr:cNvPr id="9" name="Picture 8">
          <a:extLst>
            <a:ext uri="{FF2B5EF4-FFF2-40B4-BE49-F238E27FC236}">
              <a16:creationId xmlns:a16="http://schemas.microsoft.com/office/drawing/2014/main" id="{94C8DBCC-5AE5-4537-A374-20A0EFB12EB9}"/>
            </a:ext>
          </a:extLst>
        </xdr:cNvPr>
        <xdr:cNvPicPr>
          <a:picLocks noChangeAspect="1"/>
        </xdr:cNvPicPr>
      </xdr:nvPicPr>
      <xdr:blipFill>
        <a:blip xmlns:r="http://schemas.openxmlformats.org/officeDocument/2006/relationships" r:embed="rId7"/>
        <a:stretch>
          <a:fillRect/>
        </a:stretch>
      </xdr:blipFill>
      <xdr:spPr>
        <a:xfrm>
          <a:off x="17811750" y="41573450"/>
          <a:ext cx="3242934" cy="2470150"/>
        </a:xfrm>
        <a:prstGeom prst="rect">
          <a:avLst/>
        </a:prstGeom>
      </xdr:spPr>
    </xdr:pic>
    <xdr:clientData/>
  </xdr:twoCellAnchor>
  <xdr:twoCellAnchor editAs="oneCell">
    <xdr:from>
      <xdr:col>14</xdr:col>
      <xdr:colOff>457200</xdr:colOff>
      <xdr:row>298</xdr:row>
      <xdr:rowOff>127000</xdr:rowOff>
    </xdr:from>
    <xdr:to>
      <xdr:col>18</xdr:col>
      <xdr:colOff>488409</xdr:colOff>
      <xdr:row>330</xdr:row>
      <xdr:rowOff>84993</xdr:rowOff>
    </xdr:to>
    <xdr:pic>
      <xdr:nvPicPr>
        <xdr:cNvPr id="10" name="Picture 9">
          <a:extLst>
            <a:ext uri="{FF2B5EF4-FFF2-40B4-BE49-F238E27FC236}">
              <a16:creationId xmlns:a16="http://schemas.microsoft.com/office/drawing/2014/main" id="{15413239-A80A-48A4-9ADC-F70D469F742D}"/>
            </a:ext>
          </a:extLst>
        </xdr:cNvPr>
        <xdr:cNvPicPr>
          <a:picLocks noChangeAspect="1"/>
        </xdr:cNvPicPr>
      </xdr:nvPicPr>
      <xdr:blipFill>
        <a:blip xmlns:r="http://schemas.openxmlformats.org/officeDocument/2006/relationships" r:embed="rId8"/>
        <a:stretch>
          <a:fillRect/>
        </a:stretch>
      </xdr:blipFill>
      <xdr:spPr>
        <a:xfrm>
          <a:off x="17011650" y="59613800"/>
          <a:ext cx="4323809" cy="5857143"/>
        </a:xfrm>
        <a:prstGeom prst="rect">
          <a:avLst/>
        </a:prstGeom>
      </xdr:spPr>
    </xdr:pic>
    <xdr:clientData/>
  </xdr:twoCellAnchor>
  <xdr:twoCellAnchor editAs="oneCell">
    <xdr:from>
      <xdr:col>14</xdr:col>
      <xdr:colOff>311150</xdr:colOff>
      <xdr:row>286</xdr:row>
      <xdr:rowOff>59363</xdr:rowOff>
    </xdr:from>
    <xdr:to>
      <xdr:col>16</xdr:col>
      <xdr:colOff>495300</xdr:colOff>
      <xdr:row>296</xdr:row>
      <xdr:rowOff>101600</xdr:rowOff>
    </xdr:to>
    <xdr:pic>
      <xdr:nvPicPr>
        <xdr:cNvPr id="11" name="Picture 10">
          <a:extLst>
            <a:ext uri="{FF2B5EF4-FFF2-40B4-BE49-F238E27FC236}">
              <a16:creationId xmlns:a16="http://schemas.microsoft.com/office/drawing/2014/main" id="{CA3DDBD7-85EC-45CC-8FF8-9BA83F3D1E1A}"/>
            </a:ext>
          </a:extLst>
        </xdr:cNvPr>
        <xdr:cNvPicPr>
          <a:picLocks noChangeAspect="1"/>
        </xdr:cNvPicPr>
      </xdr:nvPicPr>
      <xdr:blipFill>
        <a:blip xmlns:r="http://schemas.openxmlformats.org/officeDocument/2006/relationships" r:embed="rId9"/>
        <a:stretch>
          <a:fillRect/>
        </a:stretch>
      </xdr:blipFill>
      <xdr:spPr>
        <a:xfrm>
          <a:off x="16865600" y="57336363"/>
          <a:ext cx="2895600" cy="189008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321459</xdr:colOff>
      <xdr:row>28</xdr:row>
      <xdr:rowOff>108856</xdr:rowOff>
    </xdr:from>
    <xdr:to>
      <xdr:col>31</xdr:col>
      <xdr:colOff>70756</xdr:colOff>
      <xdr:row>60</xdr:row>
      <xdr:rowOff>27213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9683173" y="5941785"/>
          <a:ext cx="6190012" cy="63046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EPD\ESB\_SECTION%20EPR%20NEW!\Policy%20-%20Development%20and%20Implementation%20(25100-20)\AR%20Roll-up\Product_Stewardship_Roll-up%20to%20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vs(2000-2015)"/>
      <sheetName val="Oil(2003-2015) "/>
      <sheetName val="Tires(2007-2015)"/>
      <sheetName val="Paints-Flam-Pest(2000-2015)"/>
      <sheetName val="Elect(2007-2015)"/>
      <sheetName val="Lead-Acid Batteries (2012-2015)"/>
      <sheetName val="Pharm(2000-2015)"/>
      <sheetName val="PPP (2014-2015)"/>
      <sheetName val="BC Population Stats "/>
      <sheetName val="Overview"/>
      <sheetName val=" Program Collection (tonnes)"/>
      <sheetName val="Program Financials"/>
    </sheetNames>
    <sheetDataSet>
      <sheetData sheetId="0" refreshError="1">
        <row r="24">
          <cell r="O24">
            <v>220.7</v>
          </cell>
          <cell r="P24">
            <v>220.3</v>
          </cell>
        </row>
        <row r="212">
          <cell r="N212">
            <v>31303</v>
          </cell>
          <cell r="O212">
            <v>31581</v>
          </cell>
          <cell r="P212">
            <v>31256</v>
          </cell>
          <cell r="Q212">
            <v>30863</v>
          </cell>
          <cell r="R212">
            <v>30876</v>
          </cell>
        </row>
        <row r="215">
          <cell r="N215">
            <v>39228</v>
          </cell>
          <cell r="O215">
            <v>39905</v>
          </cell>
          <cell r="P215">
            <v>39989</v>
          </cell>
          <cell r="Q215">
            <v>40066</v>
          </cell>
          <cell r="R215">
            <v>40387</v>
          </cell>
        </row>
        <row r="218">
          <cell r="N218">
            <v>366515</v>
          </cell>
          <cell r="O218">
            <v>367632</v>
          </cell>
          <cell r="P218">
            <v>368935</v>
          </cell>
          <cell r="Q218">
            <v>371265</v>
          </cell>
          <cell r="R218">
            <v>372463</v>
          </cell>
        </row>
        <row r="221">
          <cell r="N221">
            <v>63087</v>
          </cell>
          <cell r="O221">
            <v>63314</v>
          </cell>
          <cell r="P221">
            <v>63091</v>
          </cell>
          <cell r="Q221">
            <v>62885</v>
          </cell>
          <cell r="R221">
            <v>63111</v>
          </cell>
        </row>
        <row r="224">
          <cell r="N224">
            <v>3255</v>
          </cell>
          <cell r="O224">
            <v>3277</v>
          </cell>
          <cell r="P224">
            <v>3310</v>
          </cell>
          <cell r="Q224">
            <v>3263</v>
          </cell>
          <cell r="R224">
            <v>3240</v>
          </cell>
        </row>
        <row r="227">
          <cell r="N227">
            <v>58831</v>
          </cell>
          <cell r="O227">
            <v>59297</v>
          </cell>
          <cell r="P227">
            <v>59450</v>
          </cell>
          <cell r="Q227">
            <v>59385</v>
          </cell>
          <cell r="R227">
            <v>60013</v>
          </cell>
        </row>
        <row r="230">
          <cell r="N230">
            <v>182228</v>
          </cell>
          <cell r="O230">
            <v>183521</v>
          </cell>
          <cell r="P230">
            <v>184964</v>
          </cell>
          <cell r="Q230">
            <v>185944</v>
          </cell>
          <cell r="R230">
            <v>189289</v>
          </cell>
        </row>
        <row r="233">
          <cell r="N233">
            <v>51083</v>
          </cell>
          <cell r="O233">
            <v>51234</v>
          </cell>
          <cell r="P233">
            <v>51087</v>
          </cell>
          <cell r="Q233">
            <v>51007</v>
          </cell>
          <cell r="R233">
            <v>51789</v>
          </cell>
        </row>
        <row r="239">
          <cell r="N239">
            <v>63875</v>
          </cell>
          <cell r="O239">
            <v>64417</v>
          </cell>
          <cell r="P239">
            <v>64499</v>
          </cell>
          <cell r="Q239">
            <v>64428</v>
          </cell>
          <cell r="R239">
            <v>64639</v>
          </cell>
        </row>
        <row r="242">
          <cell r="N242">
            <v>81083</v>
          </cell>
          <cell r="O242">
            <v>81485</v>
          </cell>
          <cell r="P242">
            <v>81447</v>
          </cell>
          <cell r="Q242">
            <v>81659</v>
          </cell>
          <cell r="R242">
            <v>82407</v>
          </cell>
        </row>
        <row r="245">
          <cell r="N245">
            <v>57616</v>
          </cell>
          <cell r="O245">
            <v>57679</v>
          </cell>
          <cell r="P245">
            <v>57779</v>
          </cell>
          <cell r="Q245">
            <v>57642</v>
          </cell>
          <cell r="R245">
            <v>58059</v>
          </cell>
        </row>
        <row r="248">
          <cell r="N248">
            <v>283004</v>
          </cell>
          <cell r="O248">
            <v>283905</v>
          </cell>
          <cell r="P248">
            <v>284791</v>
          </cell>
          <cell r="Q248">
            <v>286980</v>
          </cell>
          <cell r="R248">
            <v>288682</v>
          </cell>
        </row>
        <row r="251">
          <cell r="N251">
            <v>93704</v>
          </cell>
          <cell r="O251">
            <v>93887</v>
          </cell>
          <cell r="P251">
            <v>93881</v>
          </cell>
          <cell r="Q251">
            <v>94193</v>
          </cell>
          <cell r="R251">
            <v>93645</v>
          </cell>
        </row>
        <row r="254">
          <cell r="N254">
            <v>38207</v>
          </cell>
          <cell r="O254">
            <v>38066</v>
          </cell>
          <cell r="P254">
            <v>38417</v>
          </cell>
          <cell r="Q254">
            <v>38687</v>
          </cell>
          <cell r="R254">
            <v>39169</v>
          </cell>
        </row>
        <row r="257">
          <cell r="N257">
            <v>31316</v>
          </cell>
          <cell r="O257">
            <v>31494</v>
          </cell>
          <cell r="P257">
            <v>31205</v>
          </cell>
          <cell r="Q257">
            <v>30563</v>
          </cell>
          <cell r="R257">
            <v>30307</v>
          </cell>
        </row>
        <row r="260">
          <cell r="N260">
            <v>2351205</v>
          </cell>
          <cell r="O260">
            <v>2373037</v>
          </cell>
          <cell r="P260">
            <v>2410000</v>
          </cell>
          <cell r="Q260">
            <v>2442604</v>
          </cell>
          <cell r="R260">
            <v>2474123</v>
          </cell>
        </row>
        <row r="263">
          <cell r="N263">
            <v>11766</v>
          </cell>
          <cell r="O263">
            <v>11716</v>
          </cell>
          <cell r="P263">
            <v>11600</v>
          </cell>
          <cell r="Q263">
            <v>11590</v>
          </cell>
          <cell r="R263">
            <v>11523</v>
          </cell>
        </row>
        <row r="266">
          <cell r="N266">
            <v>147456</v>
          </cell>
          <cell r="O266">
            <v>148770</v>
          </cell>
          <cell r="P266">
            <v>149621</v>
          </cell>
          <cell r="Q266">
            <v>150806</v>
          </cell>
          <cell r="R266">
            <v>152518</v>
          </cell>
        </row>
        <row r="269">
          <cell r="N269">
            <v>82174</v>
          </cell>
          <cell r="O269">
            <v>82391</v>
          </cell>
          <cell r="P269">
            <v>82223</v>
          </cell>
          <cell r="Q269">
            <v>82031</v>
          </cell>
          <cell r="R269">
            <v>82783</v>
          </cell>
        </row>
        <row r="272">
          <cell r="N272">
            <v>5918</v>
          </cell>
          <cell r="O272">
            <v>6054</v>
          </cell>
          <cell r="P272">
            <v>6094</v>
          </cell>
          <cell r="Q272">
            <v>6053</v>
          </cell>
          <cell r="R272">
            <v>6032</v>
          </cell>
        </row>
        <row r="275">
          <cell r="N275">
            <v>81424</v>
          </cell>
          <cell r="O275">
            <v>81639</v>
          </cell>
          <cell r="P275">
            <v>81634</v>
          </cell>
          <cell r="Q275">
            <v>81152</v>
          </cell>
          <cell r="R275">
            <v>81940</v>
          </cell>
        </row>
        <row r="278">
          <cell r="N278">
            <v>60603</v>
          </cell>
          <cell r="O278">
            <v>61768</v>
          </cell>
          <cell r="P278">
            <v>63088</v>
          </cell>
          <cell r="Q278">
            <v>64480</v>
          </cell>
          <cell r="R278">
            <v>66321</v>
          </cell>
        </row>
        <row r="281">
          <cell r="N281">
            <v>19987</v>
          </cell>
          <cell r="O281">
            <v>20106</v>
          </cell>
          <cell r="P281">
            <v>19925</v>
          </cell>
          <cell r="Q281">
            <v>19910</v>
          </cell>
          <cell r="R281">
            <v>19921</v>
          </cell>
        </row>
        <row r="284">
          <cell r="N284">
            <v>19115</v>
          </cell>
          <cell r="O284">
            <v>19135</v>
          </cell>
          <cell r="P284">
            <v>18892</v>
          </cell>
          <cell r="Q284">
            <v>18536</v>
          </cell>
          <cell r="R284">
            <v>18165</v>
          </cell>
        </row>
        <row r="287">
          <cell r="N287">
            <v>38788</v>
          </cell>
          <cell r="O287">
            <v>39513</v>
          </cell>
          <cell r="P287">
            <v>40618</v>
          </cell>
          <cell r="Q287">
            <v>40867</v>
          </cell>
          <cell r="R287">
            <v>41496</v>
          </cell>
        </row>
        <row r="293">
          <cell r="N293">
            <v>43628</v>
          </cell>
          <cell r="O293">
            <v>43928</v>
          </cell>
          <cell r="P293">
            <v>44020</v>
          </cell>
          <cell r="Q293">
            <v>44243</v>
          </cell>
          <cell r="R293">
            <v>44869</v>
          </cell>
        </row>
        <row r="296">
          <cell r="N296">
            <v>28590</v>
          </cell>
          <cell r="O296">
            <v>28918</v>
          </cell>
          <cell r="P296">
            <v>29118</v>
          </cell>
          <cell r="Q296">
            <v>29098</v>
          </cell>
          <cell r="R296">
            <v>29584</v>
          </cell>
        </row>
        <row r="299">
          <cell r="N299">
            <v>130287</v>
          </cell>
          <cell r="O299">
            <v>130832</v>
          </cell>
          <cell r="P299">
            <v>130902</v>
          </cell>
          <cell r="Q299">
            <v>131730</v>
          </cell>
          <cell r="R299">
            <v>133270</v>
          </cell>
        </row>
        <row r="300">
          <cell r="N300">
            <v>4465924</v>
          </cell>
          <cell r="O300">
            <v>4499139</v>
          </cell>
          <cell r="P300">
            <v>4542508</v>
          </cell>
          <cell r="Q300">
            <v>4582625</v>
          </cell>
          <cell r="R300">
            <v>4630621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321"/>
  <sheetViews>
    <sheetView tabSelected="1" topLeftCell="A291" zoomScale="85" zoomScaleNormal="85" workbookViewId="0">
      <pane xSplit="3" topLeftCell="F1" activePane="topRight" state="frozen"/>
      <selection pane="topRight" activeCell="B309" sqref="B309:C309"/>
    </sheetView>
  </sheetViews>
  <sheetFormatPr defaultColWidth="8.77734375" defaultRowHeight="14.4" x14ac:dyDescent="0.3"/>
  <cols>
    <col min="1" max="1" width="2.44140625" style="6" customWidth="1"/>
    <col min="2" max="2" width="52.88671875" style="52" customWidth="1"/>
    <col min="3" max="3" width="24.5546875" style="52" bestFit="1" customWidth="1"/>
    <col min="4" max="4" width="14.33203125" customWidth="1"/>
    <col min="5" max="6" width="14.44140625" customWidth="1"/>
    <col min="7" max="7" width="13.77734375" customWidth="1"/>
    <col min="8" max="8" width="15.109375" customWidth="1"/>
    <col min="9" max="10" width="15.44140625" customWidth="1"/>
    <col min="11" max="11" width="15" customWidth="1"/>
    <col min="12" max="12" width="15.109375" customWidth="1"/>
    <col min="13" max="13" width="15.77734375" style="6" customWidth="1"/>
    <col min="14" max="14" width="16.44140625" style="6" customWidth="1"/>
    <col min="15" max="18" width="15.44140625" style="6" customWidth="1"/>
    <col min="19" max="19" width="15.44140625" style="6" bestFit="1" customWidth="1"/>
    <col min="20" max="20" width="14.44140625" style="6" customWidth="1"/>
    <col min="21" max="21" width="18.109375" style="429" customWidth="1"/>
  </cols>
  <sheetData>
    <row r="1" spans="1:21" ht="15" thickBot="1" x14ac:dyDescent="0.35">
      <c r="K1" s="124" t="s">
        <v>674</v>
      </c>
      <c r="L1" s="124"/>
    </row>
    <row r="2" spans="1:21" ht="49.5" customHeight="1" thickBot="1" x14ac:dyDescent="0.35">
      <c r="B2" s="678" t="s">
        <v>823</v>
      </c>
      <c r="C2" s="679"/>
      <c r="D2" s="679"/>
      <c r="E2" s="679"/>
      <c r="F2" s="679"/>
      <c r="G2" s="679"/>
      <c r="H2" s="679"/>
      <c r="I2" s="679"/>
      <c r="J2" s="679"/>
      <c r="K2" s="679"/>
      <c r="L2" s="680"/>
    </row>
    <row r="3" spans="1:21" ht="15" customHeight="1" x14ac:dyDescent="0.3">
      <c r="B3" s="53"/>
      <c r="C3" s="53"/>
      <c r="D3" s="13"/>
      <c r="E3" s="13"/>
      <c r="F3" s="13"/>
      <c r="G3" s="13"/>
      <c r="H3" s="13"/>
      <c r="I3" s="13"/>
      <c r="J3" s="13"/>
      <c r="K3" s="13"/>
      <c r="L3" s="13"/>
    </row>
    <row r="4" spans="1:21" s="5" customFormat="1" ht="23.4" x14ac:dyDescent="0.45">
      <c r="A4" s="6"/>
      <c r="B4" s="58" t="s">
        <v>1</v>
      </c>
      <c r="C4" s="58"/>
    </row>
    <row r="5" spans="1:21" s="5" customFormat="1" ht="15.6" x14ac:dyDescent="0.3">
      <c r="A5" s="6"/>
      <c r="B5" s="296"/>
      <c r="C5" s="296"/>
      <c r="D5" s="244">
        <v>2000</v>
      </c>
      <c r="E5" s="244">
        <v>2001</v>
      </c>
      <c r="F5" s="244">
        <v>2002</v>
      </c>
      <c r="G5" s="244">
        <v>2003</v>
      </c>
      <c r="H5" s="244">
        <v>2004</v>
      </c>
      <c r="I5" s="244">
        <v>2005</v>
      </c>
      <c r="J5" s="244">
        <v>2006</v>
      </c>
      <c r="K5" s="244">
        <v>2007</v>
      </c>
      <c r="L5" s="244">
        <v>2008</v>
      </c>
      <c r="M5" s="244">
        <v>2009</v>
      </c>
      <c r="N5" s="244">
        <v>2010</v>
      </c>
      <c r="O5" s="244">
        <v>2011</v>
      </c>
      <c r="P5" s="244">
        <v>2012</v>
      </c>
      <c r="Q5" s="244">
        <v>2013</v>
      </c>
      <c r="R5" s="244">
        <v>2014</v>
      </c>
      <c r="S5" s="244">
        <v>2015</v>
      </c>
      <c r="T5" s="244">
        <v>2016</v>
      </c>
      <c r="U5" s="244">
        <v>2017</v>
      </c>
    </row>
    <row r="6" spans="1:21" s="12" customFormat="1" ht="15.6" x14ac:dyDescent="0.3">
      <c r="A6" s="6"/>
      <c r="B6" s="297" t="s">
        <v>10</v>
      </c>
      <c r="C6" s="297"/>
      <c r="D6" s="258"/>
      <c r="E6" s="258"/>
      <c r="F6" s="258"/>
      <c r="G6" s="258"/>
      <c r="H6" s="258"/>
      <c r="I6" s="258"/>
      <c r="J6" s="258"/>
      <c r="K6" s="258"/>
      <c r="L6" s="258"/>
      <c r="M6" s="258"/>
      <c r="N6" s="258"/>
      <c r="O6" s="258"/>
      <c r="P6" s="258"/>
      <c r="Q6" s="258"/>
      <c r="R6" s="258"/>
      <c r="S6" s="258"/>
      <c r="T6" s="258"/>
      <c r="U6" s="258"/>
    </row>
    <row r="7" spans="1:21" ht="15.6" x14ac:dyDescent="0.3">
      <c r="B7" s="674" t="s">
        <v>17</v>
      </c>
      <c r="C7" s="675"/>
      <c r="D7" s="260">
        <v>0.72</v>
      </c>
      <c r="E7" s="260">
        <v>0.72070000000000001</v>
      </c>
      <c r="F7" s="260">
        <v>0.751</v>
      </c>
      <c r="G7" s="260">
        <v>0.76500000000000001</v>
      </c>
      <c r="H7" s="260">
        <v>0.745</v>
      </c>
      <c r="I7" s="260">
        <v>0.72699999999999998</v>
      </c>
      <c r="J7" s="260">
        <v>0.72399999999999998</v>
      </c>
      <c r="K7" s="260">
        <v>0.76100000000000001</v>
      </c>
      <c r="L7" s="260">
        <v>0.77100000000000002</v>
      </c>
      <c r="M7" s="260">
        <v>0.79300000000000004</v>
      </c>
      <c r="N7" s="260">
        <v>0.80400000000000005</v>
      </c>
      <c r="O7" s="260">
        <v>0.79800000000000004</v>
      </c>
      <c r="P7" s="260">
        <v>0.78700000000000003</v>
      </c>
      <c r="Q7" s="260">
        <v>0.80100000000000005</v>
      </c>
      <c r="R7" s="538">
        <v>0.79100000000000004</v>
      </c>
      <c r="S7" s="538">
        <v>0.78900000000000003</v>
      </c>
      <c r="T7" s="538">
        <v>0.78</v>
      </c>
      <c r="U7" s="539">
        <v>0.75800000000000001</v>
      </c>
    </row>
    <row r="8" spans="1:21" ht="15.6" x14ac:dyDescent="0.3">
      <c r="B8" s="298" t="s">
        <v>260</v>
      </c>
      <c r="C8" s="299" t="s">
        <v>233</v>
      </c>
      <c r="D8" s="257"/>
      <c r="E8" s="257"/>
      <c r="F8" s="257"/>
      <c r="G8" s="257"/>
      <c r="H8" s="257"/>
      <c r="I8" s="257"/>
      <c r="J8" s="300">
        <v>239.3</v>
      </c>
      <c r="K8" s="300">
        <v>282.5</v>
      </c>
      <c r="L8" s="300">
        <v>317.2</v>
      </c>
      <c r="M8" s="300">
        <v>318.2</v>
      </c>
      <c r="N8" s="300">
        <v>306.10000000000002</v>
      </c>
      <c r="O8" s="300">
        <v>290.10000000000002</v>
      </c>
      <c r="P8" s="300">
        <v>287.8</v>
      </c>
      <c r="Q8" s="300">
        <v>287.5</v>
      </c>
      <c r="R8" s="300">
        <v>297.8</v>
      </c>
      <c r="S8" s="300">
        <v>321.8</v>
      </c>
      <c r="T8" s="300">
        <v>323</v>
      </c>
      <c r="U8" s="300">
        <v>338.2</v>
      </c>
    </row>
    <row r="9" spans="1:21" ht="15.6" x14ac:dyDescent="0.3">
      <c r="B9" s="301" t="s">
        <v>260</v>
      </c>
      <c r="C9" s="302" t="s">
        <v>234</v>
      </c>
      <c r="D9" s="303"/>
      <c r="E9" s="303"/>
      <c r="F9" s="303"/>
      <c r="G9" s="303"/>
      <c r="H9" s="303"/>
      <c r="I9" s="303"/>
      <c r="J9" s="304">
        <v>197.7</v>
      </c>
      <c r="K9" s="304">
        <v>255</v>
      </c>
      <c r="L9" s="304">
        <v>272.5</v>
      </c>
      <c r="M9" s="304">
        <v>268.8</v>
      </c>
      <c r="N9" s="304">
        <v>254.2</v>
      </c>
      <c r="O9" s="304">
        <v>250.7</v>
      </c>
      <c r="P9" s="304">
        <v>259</v>
      </c>
      <c r="Q9" s="304">
        <v>279</v>
      </c>
      <c r="R9" s="304">
        <v>245</v>
      </c>
      <c r="S9" s="304">
        <v>236</v>
      </c>
      <c r="T9" s="304">
        <v>241.5</v>
      </c>
      <c r="U9" s="304">
        <v>218.9</v>
      </c>
    </row>
    <row r="10" spans="1:21" ht="15.6" x14ac:dyDescent="0.3">
      <c r="B10" s="298" t="s">
        <v>260</v>
      </c>
      <c r="C10" s="299" t="s">
        <v>168</v>
      </c>
      <c r="D10" s="257"/>
      <c r="E10" s="257"/>
      <c r="F10" s="257"/>
      <c r="G10" s="257"/>
      <c r="H10" s="257"/>
      <c r="I10" s="257"/>
      <c r="J10" s="300">
        <v>187</v>
      </c>
      <c r="K10" s="300">
        <v>225.5</v>
      </c>
      <c r="L10" s="300">
        <v>244</v>
      </c>
      <c r="M10" s="300">
        <v>240.2</v>
      </c>
      <c r="N10" s="300">
        <v>232</v>
      </c>
      <c r="O10" s="300">
        <v>220.9</v>
      </c>
      <c r="P10" s="300">
        <v>214.3</v>
      </c>
      <c r="Q10" s="300">
        <v>215.6</v>
      </c>
      <c r="R10" s="300">
        <v>216.4</v>
      </c>
      <c r="S10" s="300">
        <v>215.7</v>
      </c>
      <c r="T10" s="300">
        <v>218.1</v>
      </c>
      <c r="U10" s="300">
        <v>214.4</v>
      </c>
    </row>
    <row r="11" spans="1:21" ht="15.6" x14ac:dyDescent="0.3">
      <c r="B11" s="301" t="s">
        <v>260</v>
      </c>
      <c r="C11" s="302" t="s">
        <v>169</v>
      </c>
      <c r="D11" s="303"/>
      <c r="E11" s="303"/>
      <c r="F11" s="303"/>
      <c r="G11" s="303"/>
      <c r="H11" s="303"/>
      <c r="I11" s="303"/>
      <c r="J11" s="304">
        <v>201</v>
      </c>
      <c r="K11" s="304">
        <v>253.5</v>
      </c>
      <c r="L11" s="304">
        <v>280.8</v>
      </c>
      <c r="M11" s="304">
        <v>275.39999999999998</v>
      </c>
      <c r="N11" s="304">
        <v>267.10000000000002</v>
      </c>
      <c r="O11" s="304">
        <v>249.7</v>
      </c>
      <c r="P11" s="304">
        <v>254.3</v>
      </c>
      <c r="Q11" s="304">
        <v>266.7</v>
      </c>
      <c r="R11" s="304">
        <v>266.89999999999998</v>
      </c>
      <c r="S11" s="304">
        <v>272.89999999999998</v>
      </c>
      <c r="T11" s="304">
        <v>270.7</v>
      </c>
      <c r="U11" s="304">
        <v>268.10000000000002</v>
      </c>
    </row>
    <row r="12" spans="1:21" ht="15.6" x14ac:dyDescent="0.3">
      <c r="B12" s="298" t="s">
        <v>260</v>
      </c>
      <c r="C12" s="299" t="s">
        <v>170</v>
      </c>
      <c r="D12" s="257"/>
      <c r="E12" s="257"/>
      <c r="F12" s="257"/>
      <c r="G12" s="257"/>
      <c r="H12" s="257"/>
      <c r="I12" s="257"/>
      <c r="J12" s="300">
        <v>141.5</v>
      </c>
      <c r="K12" s="300">
        <v>184.9</v>
      </c>
      <c r="L12" s="300">
        <v>200.3</v>
      </c>
      <c r="M12" s="300">
        <v>215.7</v>
      </c>
      <c r="N12" s="300">
        <v>183.6</v>
      </c>
      <c r="O12" s="300">
        <v>188</v>
      </c>
      <c r="P12" s="300">
        <v>180.9</v>
      </c>
      <c r="Q12" s="305">
        <v>187.9</v>
      </c>
      <c r="R12" s="305">
        <v>164.5</v>
      </c>
      <c r="S12" s="305">
        <v>175.7</v>
      </c>
      <c r="T12" s="305">
        <v>204.2</v>
      </c>
      <c r="U12" s="305">
        <v>183.7</v>
      </c>
    </row>
    <row r="13" spans="1:21" ht="15.6" x14ac:dyDescent="0.3">
      <c r="B13" s="301" t="s">
        <v>260</v>
      </c>
      <c r="C13" s="302" t="s">
        <v>171</v>
      </c>
      <c r="D13" s="303"/>
      <c r="E13" s="303"/>
      <c r="F13" s="303"/>
      <c r="G13" s="303"/>
      <c r="H13" s="303"/>
      <c r="I13" s="303"/>
      <c r="J13" s="304">
        <v>162.69999999999999</v>
      </c>
      <c r="K13" s="304">
        <v>220</v>
      </c>
      <c r="L13" s="304">
        <v>226.4</v>
      </c>
      <c r="M13" s="304">
        <v>229.9</v>
      </c>
      <c r="N13" s="304">
        <v>218.3</v>
      </c>
      <c r="O13" s="304">
        <v>207</v>
      </c>
      <c r="P13" s="304">
        <v>195</v>
      </c>
      <c r="Q13" s="304">
        <v>197.9</v>
      </c>
      <c r="R13" s="304">
        <v>190.6</v>
      </c>
      <c r="S13" s="304">
        <v>201</v>
      </c>
      <c r="T13" s="304">
        <v>201.6</v>
      </c>
      <c r="U13" s="304">
        <v>210.5</v>
      </c>
    </row>
    <row r="14" spans="1:21" ht="15.6" x14ac:dyDescent="0.3">
      <c r="B14" s="298" t="s">
        <v>260</v>
      </c>
      <c r="C14" s="299" t="s">
        <v>172</v>
      </c>
      <c r="D14" s="257"/>
      <c r="E14" s="257"/>
      <c r="F14" s="257"/>
      <c r="G14" s="257"/>
      <c r="H14" s="257"/>
      <c r="I14" s="257"/>
      <c r="J14" s="300">
        <v>202.8</v>
      </c>
      <c r="K14" s="300">
        <v>251.1</v>
      </c>
      <c r="L14" s="300">
        <v>269.89999999999998</v>
      </c>
      <c r="M14" s="300">
        <v>264.5</v>
      </c>
      <c r="N14" s="300">
        <v>252</v>
      </c>
      <c r="O14" s="300">
        <v>246.3</v>
      </c>
      <c r="P14" s="300">
        <v>240</v>
      </c>
      <c r="Q14" s="300">
        <v>244.8</v>
      </c>
      <c r="R14" s="300">
        <v>239.9</v>
      </c>
      <c r="S14" s="300">
        <v>243.9</v>
      </c>
      <c r="T14" s="300">
        <v>249.4</v>
      </c>
      <c r="U14" s="300">
        <v>262.10000000000002</v>
      </c>
    </row>
    <row r="15" spans="1:21" ht="15.6" x14ac:dyDescent="0.3">
      <c r="B15" s="301" t="s">
        <v>260</v>
      </c>
      <c r="C15" s="302" t="s">
        <v>235</v>
      </c>
      <c r="D15" s="303"/>
      <c r="E15" s="303"/>
      <c r="F15" s="303"/>
      <c r="G15" s="303"/>
      <c r="H15" s="303"/>
      <c r="I15" s="303"/>
      <c r="J15" s="304">
        <v>203.3</v>
      </c>
      <c r="K15" s="304">
        <v>273.60000000000002</v>
      </c>
      <c r="L15" s="304">
        <v>301</v>
      </c>
      <c r="M15" s="304">
        <v>297.7</v>
      </c>
      <c r="N15" s="304">
        <v>274.89999999999998</v>
      </c>
      <c r="O15" s="304">
        <v>263.10000000000002</v>
      </c>
      <c r="P15" s="304">
        <v>266</v>
      </c>
      <c r="Q15" s="304">
        <v>284.8</v>
      </c>
      <c r="R15" s="304">
        <v>282.7</v>
      </c>
      <c r="S15" s="304">
        <v>298.7</v>
      </c>
      <c r="T15" s="304">
        <v>291.60000000000002</v>
      </c>
      <c r="U15" s="304">
        <v>295.89999999999998</v>
      </c>
    </row>
    <row r="16" spans="1:21" s="6" customFormat="1" ht="15.6" x14ac:dyDescent="0.3">
      <c r="B16" s="246" t="s">
        <v>260</v>
      </c>
      <c r="C16" s="259" t="s">
        <v>345</v>
      </c>
      <c r="D16" s="306"/>
      <c r="E16" s="306"/>
      <c r="F16" s="306"/>
      <c r="G16" s="306"/>
      <c r="H16" s="306"/>
      <c r="I16" s="306"/>
      <c r="J16" s="305"/>
      <c r="K16" s="305"/>
      <c r="L16" s="305"/>
      <c r="M16" s="305"/>
      <c r="N16" s="305"/>
      <c r="O16" s="305">
        <v>258.7</v>
      </c>
      <c r="P16" s="305">
        <v>258.5</v>
      </c>
      <c r="Q16" s="305">
        <v>267.60000000000002</v>
      </c>
      <c r="R16" s="305">
        <v>261</v>
      </c>
      <c r="S16" s="305">
        <v>281.3</v>
      </c>
      <c r="T16" s="305">
        <v>282.5</v>
      </c>
      <c r="U16" s="305">
        <v>283.3</v>
      </c>
    </row>
    <row r="17" spans="2:21" s="6" customFormat="1" ht="15.6" x14ac:dyDescent="0.3">
      <c r="B17" s="301" t="s">
        <v>260</v>
      </c>
      <c r="C17" s="307" t="s">
        <v>346</v>
      </c>
      <c r="D17" s="308"/>
      <c r="E17" s="308"/>
      <c r="F17" s="308"/>
      <c r="G17" s="308"/>
      <c r="H17" s="308"/>
      <c r="I17" s="308"/>
      <c r="J17" s="309"/>
      <c r="K17" s="309"/>
      <c r="L17" s="309"/>
      <c r="M17" s="309"/>
      <c r="N17" s="309"/>
      <c r="O17" s="309">
        <v>151.5</v>
      </c>
      <c r="P17" s="309">
        <v>155.6</v>
      </c>
      <c r="Q17" s="309">
        <v>154.4</v>
      </c>
      <c r="R17" s="309">
        <v>150.6</v>
      </c>
      <c r="S17" s="309">
        <v>161.30000000000001</v>
      </c>
      <c r="T17" s="309">
        <v>167.1</v>
      </c>
      <c r="U17" s="309">
        <v>173.1</v>
      </c>
    </row>
    <row r="18" spans="2:21" ht="15.6" x14ac:dyDescent="0.3">
      <c r="B18" s="298" t="s">
        <v>260</v>
      </c>
      <c r="C18" s="299" t="s">
        <v>236</v>
      </c>
      <c r="D18" s="257"/>
      <c r="E18" s="257"/>
      <c r="F18" s="257"/>
      <c r="G18" s="257"/>
      <c r="H18" s="257"/>
      <c r="I18" s="257"/>
      <c r="J18" s="300">
        <v>189</v>
      </c>
      <c r="K18" s="300">
        <v>220.2</v>
      </c>
      <c r="L18" s="300">
        <v>234.7</v>
      </c>
      <c r="M18" s="300">
        <v>235.4</v>
      </c>
      <c r="N18" s="300">
        <v>222.4</v>
      </c>
      <c r="O18" s="300"/>
      <c r="P18" s="300"/>
      <c r="Q18" s="300"/>
      <c r="R18" s="300"/>
      <c r="S18" s="300"/>
      <c r="T18" s="300"/>
      <c r="U18" s="300"/>
    </row>
    <row r="19" spans="2:21" ht="15.6" x14ac:dyDescent="0.3">
      <c r="B19" s="301" t="s">
        <v>260</v>
      </c>
      <c r="C19" s="302" t="s">
        <v>175</v>
      </c>
      <c r="D19" s="303"/>
      <c r="E19" s="303"/>
      <c r="F19" s="303"/>
      <c r="G19" s="303"/>
      <c r="H19" s="303"/>
      <c r="I19" s="303"/>
      <c r="J19" s="304">
        <v>225.5</v>
      </c>
      <c r="K19" s="304">
        <v>262.39999999999998</v>
      </c>
      <c r="L19" s="304">
        <v>286</v>
      </c>
      <c r="M19" s="304">
        <v>285.89999999999998</v>
      </c>
      <c r="N19" s="304">
        <v>268.60000000000002</v>
      </c>
      <c r="O19" s="304">
        <v>254.8</v>
      </c>
      <c r="P19" s="304">
        <v>251.9</v>
      </c>
      <c r="Q19" s="304">
        <v>254.7</v>
      </c>
      <c r="R19" s="304">
        <v>248.2</v>
      </c>
      <c r="S19" s="304">
        <v>259</v>
      </c>
      <c r="T19" s="304">
        <v>264</v>
      </c>
      <c r="U19" s="304">
        <v>267.7</v>
      </c>
    </row>
    <row r="20" spans="2:21" ht="15.6" x14ac:dyDescent="0.3">
      <c r="B20" s="298" t="s">
        <v>260</v>
      </c>
      <c r="C20" s="299" t="s">
        <v>176</v>
      </c>
      <c r="D20" s="257"/>
      <c r="E20" s="257"/>
      <c r="F20" s="257"/>
      <c r="G20" s="257"/>
      <c r="H20" s="257"/>
      <c r="I20" s="257"/>
      <c r="J20" s="300">
        <v>221.3</v>
      </c>
      <c r="K20" s="300">
        <v>293.7</v>
      </c>
      <c r="L20" s="300">
        <v>320</v>
      </c>
      <c r="M20" s="300">
        <v>301.2</v>
      </c>
      <c r="N20" s="300">
        <v>274.7</v>
      </c>
      <c r="O20" s="300">
        <v>264.39999999999998</v>
      </c>
      <c r="P20" s="300">
        <v>255.9</v>
      </c>
      <c r="Q20" s="300">
        <v>273.10000000000002</v>
      </c>
      <c r="R20" s="300">
        <v>265.7</v>
      </c>
      <c r="S20" s="300">
        <v>272.7</v>
      </c>
      <c r="T20" s="300">
        <v>266.8</v>
      </c>
      <c r="U20" s="300">
        <v>278.8</v>
      </c>
    </row>
    <row r="21" spans="2:21" ht="15.6" x14ac:dyDescent="0.3">
      <c r="B21" s="301" t="s">
        <v>260</v>
      </c>
      <c r="C21" s="302" t="s">
        <v>178</v>
      </c>
      <c r="D21" s="303"/>
      <c r="E21" s="303"/>
      <c r="F21" s="303"/>
      <c r="G21" s="303"/>
      <c r="H21" s="303"/>
      <c r="I21" s="303"/>
      <c r="J21" s="304">
        <v>210.5</v>
      </c>
      <c r="K21" s="304">
        <v>243.7</v>
      </c>
      <c r="L21" s="304">
        <v>259.5</v>
      </c>
      <c r="M21" s="304">
        <v>264.60000000000002</v>
      </c>
      <c r="N21" s="304">
        <v>249.2</v>
      </c>
      <c r="O21" s="304">
        <v>234.3</v>
      </c>
      <c r="P21" s="304">
        <v>232</v>
      </c>
      <c r="Q21" s="304">
        <v>240.2</v>
      </c>
      <c r="R21" s="304">
        <v>241.9</v>
      </c>
      <c r="S21" s="304">
        <v>246.4</v>
      </c>
      <c r="T21" s="304">
        <v>247.3</v>
      </c>
      <c r="U21" s="304">
        <v>249.5</v>
      </c>
    </row>
    <row r="22" spans="2:21" ht="15.6" x14ac:dyDescent="0.3">
      <c r="B22" s="298" t="s">
        <v>260</v>
      </c>
      <c r="C22" s="299" t="s">
        <v>237</v>
      </c>
      <c r="D22" s="257"/>
      <c r="E22" s="257"/>
      <c r="F22" s="257"/>
      <c r="G22" s="257"/>
      <c r="H22" s="257"/>
      <c r="I22" s="257"/>
      <c r="J22" s="300">
        <v>230.4</v>
      </c>
      <c r="K22" s="300">
        <v>282.3</v>
      </c>
      <c r="L22" s="300">
        <v>309.8</v>
      </c>
      <c r="M22" s="300">
        <v>307.10000000000002</v>
      </c>
      <c r="N22" s="300">
        <v>294.7</v>
      </c>
      <c r="O22" s="300">
        <v>282.89999999999998</v>
      </c>
      <c r="P22" s="300">
        <v>284.10000000000002</v>
      </c>
      <c r="Q22" s="300">
        <v>300.89999999999998</v>
      </c>
      <c r="R22" s="300">
        <v>307.3</v>
      </c>
      <c r="S22" s="300">
        <v>323.2</v>
      </c>
      <c r="T22" s="300">
        <v>321</v>
      </c>
      <c r="U22" s="300">
        <v>327.39999999999998</v>
      </c>
    </row>
    <row r="23" spans="2:21" ht="15.6" x14ac:dyDescent="0.3">
      <c r="B23" s="301" t="s">
        <v>260</v>
      </c>
      <c r="C23" s="302" t="s">
        <v>238</v>
      </c>
      <c r="D23" s="303"/>
      <c r="E23" s="303"/>
      <c r="F23" s="303"/>
      <c r="G23" s="303"/>
      <c r="H23" s="303"/>
      <c r="I23" s="303"/>
      <c r="J23" s="304">
        <v>197.3</v>
      </c>
      <c r="K23" s="304">
        <v>242</v>
      </c>
      <c r="L23" s="304">
        <v>263</v>
      </c>
      <c r="M23" s="304">
        <v>258.7</v>
      </c>
      <c r="N23" s="304">
        <v>250</v>
      </c>
      <c r="O23" s="304">
        <v>237.3</v>
      </c>
      <c r="P23" s="304">
        <v>248.2</v>
      </c>
      <c r="Q23" s="304">
        <v>268.2</v>
      </c>
      <c r="R23" s="304">
        <v>285.8</v>
      </c>
      <c r="S23" s="304">
        <v>273.3</v>
      </c>
      <c r="T23" s="304">
        <v>279.8</v>
      </c>
      <c r="U23" s="304">
        <v>274.8</v>
      </c>
    </row>
    <row r="24" spans="2:21" ht="15.6" x14ac:dyDescent="0.3">
      <c r="B24" s="298" t="s">
        <v>260</v>
      </c>
      <c r="C24" s="299" t="s">
        <v>239</v>
      </c>
      <c r="D24" s="257"/>
      <c r="E24" s="257"/>
      <c r="F24" s="257"/>
      <c r="G24" s="257"/>
      <c r="H24" s="257"/>
      <c r="I24" s="257"/>
      <c r="J24" s="300">
        <v>190.4</v>
      </c>
      <c r="K24" s="300">
        <v>229.5</v>
      </c>
      <c r="L24" s="300">
        <v>245.4</v>
      </c>
      <c r="M24" s="300">
        <v>238.5</v>
      </c>
      <c r="N24" s="300">
        <v>222.9</v>
      </c>
      <c r="O24" s="300">
        <v>220.7</v>
      </c>
      <c r="P24" s="300">
        <v>220.3</v>
      </c>
      <c r="Q24" s="300">
        <v>220.2</v>
      </c>
      <c r="R24" s="300">
        <v>218.4</v>
      </c>
      <c r="S24" s="300">
        <v>226.1</v>
      </c>
      <c r="T24" s="300">
        <v>218.4</v>
      </c>
      <c r="U24" s="300">
        <v>229.9</v>
      </c>
    </row>
    <row r="25" spans="2:21" ht="15.6" x14ac:dyDescent="0.3">
      <c r="B25" s="301" t="s">
        <v>260</v>
      </c>
      <c r="C25" s="302" t="s">
        <v>240</v>
      </c>
      <c r="D25" s="303"/>
      <c r="E25" s="303"/>
      <c r="F25" s="303"/>
      <c r="G25" s="303"/>
      <c r="H25" s="303"/>
      <c r="I25" s="303"/>
      <c r="J25" s="304">
        <v>173.5</v>
      </c>
      <c r="K25" s="304">
        <v>205.1</v>
      </c>
      <c r="L25" s="304">
        <v>216.9</v>
      </c>
      <c r="M25" s="304">
        <v>215</v>
      </c>
      <c r="N25" s="304">
        <v>200.2</v>
      </c>
      <c r="O25" s="304">
        <v>189.4</v>
      </c>
      <c r="P25" s="304">
        <v>182.1</v>
      </c>
      <c r="Q25" s="304">
        <v>179.7</v>
      </c>
      <c r="R25" s="304">
        <v>175.8</v>
      </c>
      <c r="S25" s="304">
        <v>178.4</v>
      </c>
      <c r="T25" s="304">
        <v>173.8</v>
      </c>
      <c r="U25" s="304">
        <v>174.5</v>
      </c>
    </row>
    <row r="26" spans="2:21" ht="15.6" x14ac:dyDescent="0.3">
      <c r="B26" s="298" t="s">
        <v>260</v>
      </c>
      <c r="C26" s="299" t="s">
        <v>241</v>
      </c>
      <c r="D26" s="257"/>
      <c r="E26" s="257"/>
      <c r="F26" s="257"/>
      <c r="G26" s="257"/>
      <c r="H26" s="257"/>
      <c r="I26" s="257"/>
      <c r="J26" s="300">
        <v>200.5</v>
      </c>
      <c r="K26" s="300">
        <v>268.10000000000002</v>
      </c>
      <c r="L26" s="300">
        <v>299.39999999999998</v>
      </c>
      <c r="M26" s="300">
        <v>277.10000000000002</v>
      </c>
      <c r="N26" s="300">
        <v>265.89999999999998</v>
      </c>
      <c r="O26" s="300">
        <v>276.39999999999998</v>
      </c>
      <c r="P26" s="300">
        <v>269.8</v>
      </c>
      <c r="Q26" s="300">
        <v>290.60000000000002</v>
      </c>
      <c r="R26" s="300">
        <v>293</v>
      </c>
      <c r="S26" s="300">
        <v>300.2</v>
      </c>
      <c r="T26" s="300">
        <v>315.10000000000002</v>
      </c>
      <c r="U26" s="300">
        <v>323.10000000000002</v>
      </c>
    </row>
    <row r="27" spans="2:21" ht="15.6" x14ac:dyDescent="0.3">
      <c r="B27" s="301" t="s">
        <v>260</v>
      </c>
      <c r="C27" s="302" t="s">
        <v>183</v>
      </c>
      <c r="D27" s="303"/>
      <c r="E27" s="303"/>
      <c r="F27" s="303"/>
      <c r="G27" s="303"/>
      <c r="H27" s="303"/>
      <c r="I27" s="303"/>
      <c r="J27" s="304">
        <v>182.9</v>
      </c>
      <c r="K27" s="304">
        <v>217.9</v>
      </c>
      <c r="L27" s="304">
        <v>235</v>
      </c>
      <c r="M27" s="304">
        <v>240.7</v>
      </c>
      <c r="N27" s="304">
        <v>230.2</v>
      </c>
      <c r="O27" s="304">
        <v>221.5</v>
      </c>
      <c r="P27" s="304">
        <v>217.3</v>
      </c>
      <c r="Q27" s="304">
        <v>221.3</v>
      </c>
      <c r="R27" s="304">
        <v>219.6</v>
      </c>
      <c r="S27" s="304">
        <v>231.4</v>
      </c>
      <c r="T27" s="304">
        <v>226.1</v>
      </c>
      <c r="U27" s="304">
        <v>229.1</v>
      </c>
    </row>
    <row r="28" spans="2:21" ht="15.6" x14ac:dyDescent="0.3">
      <c r="B28" s="298" t="s">
        <v>260</v>
      </c>
      <c r="C28" s="299" t="s">
        <v>184</v>
      </c>
      <c r="D28" s="257"/>
      <c r="E28" s="257"/>
      <c r="F28" s="257"/>
      <c r="G28" s="257"/>
      <c r="H28" s="257"/>
      <c r="I28" s="257"/>
      <c r="J28" s="300">
        <v>249.2</v>
      </c>
      <c r="K28" s="300">
        <v>307.8</v>
      </c>
      <c r="L28" s="300">
        <v>333.9</v>
      </c>
      <c r="M28" s="300">
        <v>334</v>
      </c>
      <c r="N28" s="300">
        <v>319.60000000000002</v>
      </c>
      <c r="O28" s="300">
        <v>311.39999999999998</v>
      </c>
      <c r="P28" s="300">
        <v>307.10000000000002</v>
      </c>
      <c r="Q28" s="300">
        <v>320.5</v>
      </c>
      <c r="R28" s="300">
        <v>321.39999999999998</v>
      </c>
      <c r="S28" s="300">
        <v>313.60000000000002</v>
      </c>
      <c r="T28" s="300">
        <v>285.39999999999998</v>
      </c>
      <c r="U28" s="300">
        <v>297.60000000000002</v>
      </c>
    </row>
    <row r="29" spans="2:21" ht="15.6" x14ac:dyDescent="0.3">
      <c r="B29" s="301" t="s">
        <v>260</v>
      </c>
      <c r="C29" s="302" t="s">
        <v>185</v>
      </c>
      <c r="D29" s="303"/>
      <c r="E29" s="303"/>
      <c r="F29" s="303"/>
      <c r="G29" s="303"/>
      <c r="H29" s="303"/>
      <c r="I29" s="303"/>
      <c r="J29" s="304">
        <v>223</v>
      </c>
      <c r="K29" s="304">
        <v>271.2</v>
      </c>
      <c r="L29" s="304">
        <v>278</v>
      </c>
      <c r="M29" s="304">
        <v>303.5</v>
      </c>
      <c r="N29" s="304">
        <v>361.1</v>
      </c>
      <c r="O29" s="304">
        <v>428.5</v>
      </c>
      <c r="P29" s="304">
        <v>489.5</v>
      </c>
      <c r="Q29" s="304">
        <v>361.6</v>
      </c>
      <c r="R29" s="304">
        <v>292.10000000000002</v>
      </c>
      <c r="S29" s="304">
        <v>302.2</v>
      </c>
      <c r="T29" s="304">
        <v>259</v>
      </c>
      <c r="U29" s="304">
        <v>235.3</v>
      </c>
    </row>
    <row r="30" spans="2:21" ht="15.6" x14ac:dyDescent="0.3">
      <c r="B30" s="298" t="s">
        <v>260</v>
      </c>
      <c r="C30" s="299" t="s">
        <v>242</v>
      </c>
      <c r="D30" s="257"/>
      <c r="E30" s="257"/>
      <c r="F30" s="257"/>
      <c r="G30" s="257"/>
      <c r="H30" s="257"/>
      <c r="I30" s="257"/>
      <c r="J30" s="300">
        <v>199.2</v>
      </c>
      <c r="K30" s="300">
        <v>250.4</v>
      </c>
      <c r="L30" s="300">
        <v>278.39999999999998</v>
      </c>
      <c r="M30" s="300">
        <v>275</v>
      </c>
      <c r="N30" s="300">
        <v>262.2</v>
      </c>
      <c r="O30" s="300">
        <v>285.2</v>
      </c>
      <c r="P30" s="300">
        <v>252.9</v>
      </c>
      <c r="Q30" s="300">
        <v>263.3</v>
      </c>
      <c r="R30" s="300">
        <v>262.39999999999998</v>
      </c>
      <c r="S30" s="300">
        <v>279.2</v>
      </c>
      <c r="T30" s="300">
        <v>298.7</v>
      </c>
      <c r="U30" s="300">
        <v>291.7</v>
      </c>
    </row>
    <row r="31" spans="2:21" ht="15.6" x14ac:dyDescent="0.3">
      <c r="B31" s="301" t="s">
        <v>260</v>
      </c>
      <c r="C31" s="302" t="s">
        <v>187</v>
      </c>
      <c r="D31" s="303"/>
      <c r="E31" s="303"/>
      <c r="F31" s="303"/>
      <c r="G31" s="303"/>
      <c r="H31" s="303"/>
      <c r="I31" s="303"/>
      <c r="J31" s="304">
        <v>209.6</v>
      </c>
      <c r="K31" s="304">
        <v>252.5</v>
      </c>
      <c r="L31" s="304">
        <v>275.5</v>
      </c>
      <c r="M31" s="304">
        <v>273.89999999999998</v>
      </c>
      <c r="N31" s="304">
        <v>265.5</v>
      </c>
      <c r="O31" s="304">
        <v>255.2</v>
      </c>
      <c r="P31" s="304">
        <v>256.8</v>
      </c>
      <c r="Q31" s="304">
        <v>272.2</v>
      </c>
      <c r="R31" s="304">
        <v>262.5</v>
      </c>
      <c r="S31" s="304">
        <v>275</v>
      </c>
      <c r="T31" s="304">
        <v>256.89999999999998</v>
      </c>
      <c r="U31" s="304">
        <v>283.5</v>
      </c>
    </row>
    <row r="32" spans="2:21" ht="15.6" x14ac:dyDescent="0.3">
      <c r="B32" s="298" t="s">
        <v>260</v>
      </c>
      <c r="C32" s="299" t="s">
        <v>188</v>
      </c>
      <c r="D32" s="257"/>
      <c r="E32" s="257"/>
      <c r="F32" s="257"/>
      <c r="G32" s="257"/>
      <c r="H32" s="257"/>
      <c r="I32" s="257"/>
      <c r="J32" s="300">
        <v>182.1</v>
      </c>
      <c r="K32" s="300">
        <v>218.9</v>
      </c>
      <c r="L32" s="300">
        <v>243.8</v>
      </c>
      <c r="M32" s="300">
        <v>242.9</v>
      </c>
      <c r="N32" s="300">
        <v>229.8</v>
      </c>
      <c r="O32" s="300">
        <v>219.1</v>
      </c>
      <c r="P32" s="300">
        <v>210.1</v>
      </c>
      <c r="Q32" s="300">
        <v>216.6</v>
      </c>
      <c r="R32" s="300">
        <v>217.4</v>
      </c>
      <c r="S32" s="300">
        <v>232</v>
      </c>
      <c r="T32" s="300">
        <v>224.6</v>
      </c>
      <c r="U32" s="300">
        <v>231.3</v>
      </c>
    </row>
    <row r="33" spans="1:21" ht="15.6" x14ac:dyDescent="0.3">
      <c r="B33" s="301" t="s">
        <v>260</v>
      </c>
      <c r="C33" s="302" t="s">
        <v>243</v>
      </c>
      <c r="D33" s="303"/>
      <c r="E33" s="303"/>
      <c r="F33" s="303"/>
      <c r="G33" s="303"/>
      <c r="H33" s="303"/>
      <c r="I33" s="303"/>
      <c r="J33" s="304">
        <v>229.8</v>
      </c>
      <c r="K33" s="304">
        <v>284.2</v>
      </c>
      <c r="L33" s="304">
        <v>316.10000000000002</v>
      </c>
      <c r="M33" s="304">
        <v>314.7</v>
      </c>
      <c r="N33" s="304">
        <v>311.2</v>
      </c>
      <c r="O33" s="304">
        <v>295.10000000000002</v>
      </c>
      <c r="P33" s="304">
        <v>295.10000000000002</v>
      </c>
      <c r="Q33" s="304">
        <v>312.89999999999998</v>
      </c>
      <c r="R33" s="304">
        <v>321.2</v>
      </c>
      <c r="S33" s="304">
        <v>331</v>
      </c>
      <c r="T33" s="304">
        <v>338</v>
      </c>
      <c r="U33" s="304">
        <v>346.9</v>
      </c>
    </row>
    <row r="34" spans="1:21" ht="15.6" x14ac:dyDescent="0.3">
      <c r="B34" s="298" t="s">
        <v>260</v>
      </c>
      <c r="C34" s="299" t="s">
        <v>244</v>
      </c>
      <c r="D34" s="257"/>
      <c r="E34" s="257"/>
      <c r="F34" s="257"/>
      <c r="G34" s="257"/>
      <c r="H34" s="257"/>
      <c r="I34" s="257"/>
      <c r="J34" s="300">
        <v>215.5</v>
      </c>
      <c r="K34" s="300">
        <v>289.60000000000002</v>
      </c>
      <c r="L34" s="300">
        <v>337.7</v>
      </c>
      <c r="M34" s="300">
        <v>322</v>
      </c>
      <c r="N34" s="300">
        <v>301.2</v>
      </c>
      <c r="O34" s="300">
        <v>273.2</v>
      </c>
      <c r="P34" s="300">
        <v>283</v>
      </c>
      <c r="Q34" s="300">
        <v>306.8</v>
      </c>
      <c r="R34" s="300">
        <v>305.8</v>
      </c>
      <c r="S34" s="300">
        <v>328.3</v>
      </c>
      <c r="T34" s="300">
        <v>323.5</v>
      </c>
      <c r="U34" s="300">
        <v>298.39999999999998</v>
      </c>
    </row>
    <row r="35" spans="1:21" ht="15.6" x14ac:dyDescent="0.3">
      <c r="B35" s="301" t="s">
        <v>260</v>
      </c>
      <c r="C35" s="302" t="s">
        <v>191</v>
      </c>
      <c r="D35" s="303"/>
      <c r="E35" s="303"/>
      <c r="F35" s="303"/>
      <c r="G35" s="303"/>
      <c r="H35" s="303"/>
      <c r="I35" s="303"/>
      <c r="J35" s="304">
        <v>165.7</v>
      </c>
      <c r="K35" s="304">
        <v>210.6</v>
      </c>
      <c r="L35" s="304">
        <v>248.1</v>
      </c>
      <c r="M35" s="304">
        <v>241.7</v>
      </c>
      <c r="N35" s="304">
        <v>225.2</v>
      </c>
      <c r="O35" s="304">
        <v>213.5</v>
      </c>
      <c r="P35" s="304">
        <v>206.4</v>
      </c>
      <c r="Q35" s="304">
        <v>215.3</v>
      </c>
      <c r="R35" s="304">
        <v>212.4</v>
      </c>
      <c r="S35" s="304">
        <v>230.2</v>
      </c>
      <c r="T35" s="304">
        <v>237.2</v>
      </c>
      <c r="U35" s="304">
        <v>244.3</v>
      </c>
    </row>
    <row r="36" spans="1:21" ht="15.6" x14ac:dyDescent="0.3">
      <c r="B36" s="246" t="s">
        <v>260</v>
      </c>
      <c r="C36" s="259" t="s">
        <v>245</v>
      </c>
      <c r="D36" s="306"/>
      <c r="E36" s="306"/>
      <c r="F36" s="306"/>
      <c r="G36" s="306"/>
      <c r="H36" s="306"/>
      <c r="I36" s="306"/>
      <c r="J36" s="305">
        <v>239.3</v>
      </c>
      <c r="K36" s="305">
        <v>289.8</v>
      </c>
      <c r="L36" s="305">
        <v>314</v>
      </c>
      <c r="M36" s="300">
        <v>308</v>
      </c>
      <c r="N36" s="300">
        <v>292</v>
      </c>
      <c r="O36" s="300">
        <v>279.2</v>
      </c>
      <c r="P36" s="300">
        <v>276.5</v>
      </c>
      <c r="Q36" s="300">
        <v>279.7</v>
      </c>
      <c r="R36" s="300">
        <v>267.60000000000002</v>
      </c>
      <c r="S36" s="300">
        <v>274.8</v>
      </c>
      <c r="T36" s="300">
        <v>276.10000000000002</v>
      </c>
      <c r="U36" s="300">
        <v>283.8</v>
      </c>
    </row>
    <row r="37" spans="1:21" ht="15.6" x14ac:dyDescent="0.3">
      <c r="B37" s="310" t="s">
        <v>260</v>
      </c>
      <c r="C37" s="311" t="s">
        <v>214</v>
      </c>
      <c r="D37" s="312"/>
      <c r="E37" s="312"/>
      <c r="F37" s="312"/>
      <c r="G37" s="312"/>
      <c r="H37" s="312"/>
      <c r="I37" s="312"/>
      <c r="J37" s="313">
        <v>189.9</v>
      </c>
      <c r="K37" s="313">
        <v>226.7</v>
      </c>
      <c r="L37" s="313">
        <v>242.8</v>
      </c>
      <c r="M37" s="313">
        <v>240.8</v>
      </c>
      <c r="N37" s="313">
        <v>226.7</v>
      </c>
      <c r="O37" s="313">
        <v>215.9</v>
      </c>
      <c r="P37" s="313">
        <v>210.6</v>
      </c>
      <c r="Q37" s="313">
        <v>212.2</v>
      </c>
      <c r="R37" s="313">
        <v>209.1</v>
      </c>
      <c r="S37" s="313">
        <v>213.4</v>
      </c>
      <c r="T37" s="313">
        <v>210.6</v>
      </c>
      <c r="U37" s="313">
        <v>212.4</v>
      </c>
    </row>
    <row r="38" spans="1:21" ht="15.6" x14ac:dyDescent="0.3">
      <c r="B38" s="674" t="s">
        <v>16</v>
      </c>
      <c r="C38" s="675"/>
      <c r="D38" s="257">
        <v>159</v>
      </c>
      <c r="E38" s="257"/>
      <c r="F38" s="257"/>
      <c r="G38" s="257"/>
      <c r="H38" s="257">
        <v>170</v>
      </c>
      <c r="I38" s="257">
        <v>169</v>
      </c>
      <c r="J38" s="257">
        <v>169</v>
      </c>
      <c r="K38" s="257">
        <v>170</v>
      </c>
      <c r="L38" s="257">
        <v>170</v>
      </c>
      <c r="M38" s="306">
        <v>170</v>
      </c>
      <c r="N38" s="264">
        <v>171</v>
      </c>
      <c r="O38" s="264">
        <v>172</v>
      </c>
      <c r="P38" s="264">
        <v>171</v>
      </c>
      <c r="Q38" s="264">
        <v>171</v>
      </c>
      <c r="R38" s="264">
        <v>173</v>
      </c>
      <c r="S38" s="264">
        <v>174</v>
      </c>
      <c r="T38" s="264">
        <v>172</v>
      </c>
      <c r="U38" s="264">
        <v>171</v>
      </c>
    </row>
    <row r="39" spans="1:21" ht="15.6" x14ac:dyDescent="0.3">
      <c r="B39" s="674" t="s">
        <v>11</v>
      </c>
      <c r="C39" s="675"/>
      <c r="D39" s="264"/>
      <c r="E39" s="264"/>
      <c r="F39" s="264"/>
      <c r="G39" s="264"/>
      <c r="H39" s="264"/>
      <c r="I39" s="264"/>
      <c r="J39" s="264"/>
      <c r="K39" s="264"/>
      <c r="L39" s="264"/>
      <c r="M39" s="264"/>
      <c r="N39" s="264"/>
      <c r="O39" s="264"/>
      <c r="P39" s="264"/>
      <c r="Q39" s="264"/>
      <c r="R39" s="264"/>
    </row>
    <row r="40" spans="1:21" ht="15.6" x14ac:dyDescent="0.3">
      <c r="B40" s="674" t="s">
        <v>12</v>
      </c>
      <c r="C40" s="675"/>
      <c r="D40" s="264"/>
      <c r="E40" s="264"/>
      <c r="F40" s="264"/>
      <c r="G40" s="264"/>
      <c r="H40" s="264"/>
      <c r="I40" s="264"/>
      <c r="J40" s="264"/>
      <c r="K40" s="264"/>
      <c r="L40" s="264"/>
      <c r="M40" s="264"/>
      <c r="N40" s="264"/>
      <c r="O40" s="264"/>
      <c r="P40" s="264"/>
      <c r="Q40" s="264"/>
      <c r="R40" s="264"/>
    </row>
    <row r="41" spans="1:21" ht="15.6" x14ac:dyDescent="0.3">
      <c r="B41" s="674" t="s">
        <v>13</v>
      </c>
      <c r="C41" s="675"/>
      <c r="D41" s="264"/>
      <c r="E41" s="264"/>
      <c r="F41" s="264"/>
      <c r="G41" s="264"/>
      <c r="H41" s="264"/>
      <c r="I41" s="264"/>
      <c r="J41" s="264"/>
      <c r="K41" s="264"/>
      <c r="L41" s="264"/>
      <c r="M41" s="264"/>
      <c r="N41" s="264"/>
      <c r="O41" s="264"/>
      <c r="P41" s="264"/>
      <c r="Q41" s="264"/>
      <c r="R41" s="264"/>
    </row>
    <row r="42" spans="1:21" ht="15.6" x14ac:dyDescent="0.3">
      <c r="B42" s="674" t="s">
        <v>14</v>
      </c>
      <c r="C42" s="675"/>
      <c r="D42" s="264"/>
      <c r="E42" s="264"/>
      <c r="F42" s="264"/>
      <c r="G42" s="264"/>
      <c r="H42" s="264"/>
      <c r="I42" s="264"/>
      <c r="J42" s="264"/>
      <c r="K42" s="264"/>
      <c r="L42" s="264"/>
      <c r="M42" s="264"/>
      <c r="N42" s="264"/>
      <c r="O42" s="264"/>
      <c r="P42" s="264"/>
      <c r="Q42" s="264"/>
      <c r="R42" s="264"/>
    </row>
    <row r="43" spans="1:21" ht="15.6" x14ac:dyDescent="0.3">
      <c r="B43" s="674" t="s">
        <v>15</v>
      </c>
      <c r="C43" s="675"/>
      <c r="D43" s="264"/>
      <c r="E43" s="264"/>
      <c r="F43" s="264"/>
      <c r="G43" s="264"/>
      <c r="H43" s="264"/>
      <c r="I43" s="264"/>
      <c r="J43" s="264"/>
      <c r="K43" s="264"/>
      <c r="L43" s="264"/>
      <c r="M43" s="264"/>
      <c r="N43" s="264"/>
      <c r="O43" s="264"/>
      <c r="P43" s="264"/>
      <c r="Q43" s="264"/>
      <c r="R43" s="264"/>
    </row>
    <row r="44" spans="1:21" s="12" customFormat="1" ht="15.6" x14ac:dyDescent="0.3">
      <c r="A44" s="6"/>
      <c r="B44" s="297" t="s">
        <v>9</v>
      </c>
      <c r="C44" s="297"/>
      <c r="D44" s="258"/>
      <c r="E44" s="258"/>
      <c r="F44" s="258"/>
      <c r="G44" s="258"/>
      <c r="H44" s="258"/>
      <c r="I44" s="258"/>
      <c r="J44" s="258"/>
      <c r="K44" s="258"/>
      <c r="L44" s="258"/>
      <c r="M44" s="258"/>
      <c r="N44" s="258"/>
      <c r="O44" s="258"/>
      <c r="P44" s="258"/>
      <c r="Q44" s="258"/>
      <c r="R44" s="258"/>
      <c r="S44" s="258"/>
      <c r="T44" s="258"/>
      <c r="U44" s="258"/>
    </row>
    <row r="45" spans="1:21" ht="15.6" x14ac:dyDescent="0.3">
      <c r="B45" s="674" t="s">
        <v>270</v>
      </c>
      <c r="C45" s="675"/>
      <c r="D45" s="314"/>
      <c r="E45" s="314"/>
      <c r="F45" s="314"/>
      <c r="G45" s="314"/>
      <c r="H45" s="314"/>
      <c r="I45" s="314">
        <f>78138494+18402835+12429027+14430565+487588</f>
        <v>123888509</v>
      </c>
      <c r="J45" s="314">
        <f>83806563+12950203+14229148+15253181+824021</f>
        <v>127063116</v>
      </c>
      <c r="K45" s="314">
        <f>89330760+19619449+6270766+15630672+740571</f>
        <v>131592218</v>
      </c>
      <c r="L45" s="314">
        <f>94869078+32486866+6232418+15834512+1951280</f>
        <v>151374154</v>
      </c>
      <c r="M45" s="314">
        <f>82598898+76680933</f>
        <v>159279831</v>
      </c>
      <c r="N45" s="314">
        <f>95203676+73511315</f>
        <v>168714991</v>
      </c>
      <c r="O45" s="314">
        <f>99354453+70492350</f>
        <v>169846803</v>
      </c>
      <c r="P45" s="314">
        <f>94831249+69160311</f>
        <v>163991560</v>
      </c>
      <c r="Q45" s="314">
        <f>92500492+68889906</f>
        <v>161390398</v>
      </c>
      <c r="R45" s="314">
        <v>162700000</v>
      </c>
      <c r="S45" s="314">
        <f>70381314+90636175</f>
        <v>161017489</v>
      </c>
      <c r="T45" s="314">
        <v>155413115</v>
      </c>
      <c r="U45" s="314">
        <v>171528000</v>
      </c>
    </row>
    <row r="46" spans="1:21" ht="15.6" x14ac:dyDescent="0.3">
      <c r="B46" s="674" t="s">
        <v>271</v>
      </c>
      <c r="C46" s="675"/>
      <c r="D46" s="314"/>
      <c r="E46" s="314"/>
      <c r="F46" s="314"/>
      <c r="G46" s="314"/>
      <c r="H46" s="314"/>
      <c r="I46" s="314">
        <f>61673090+49965559+5336877</f>
        <v>116975526</v>
      </c>
      <c r="J46" s="314">
        <f>65951436+56350717+4954404</f>
        <v>127256557</v>
      </c>
      <c r="K46" s="314">
        <f>72005688+64040294+7210725</f>
        <v>143256707</v>
      </c>
      <c r="L46" s="314">
        <f>75325602+71967443+6919242</f>
        <v>154212287</v>
      </c>
      <c r="M46" s="314">
        <f>76713039+9110050+76680933</f>
        <v>162504022</v>
      </c>
      <c r="N46" s="314">
        <f>77708957+8408587+73511315</f>
        <v>159628859</v>
      </c>
      <c r="O46" s="314">
        <f>78518924+8122976+70492350</f>
        <v>157134250</v>
      </c>
      <c r="P46" s="314">
        <f>79036426+8727250+69160311</f>
        <v>156923987</v>
      </c>
      <c r="Q46" s="314">
        <f>80920330+8249643+68889906</f>
        <v>158059879</v>
      </c>
      <c r="R46" s="314">
        <v>159600000</v>
      </c>
      <c r="S46" s="314">
        <v>168284499</v>
      </c>
      <c r="T46" s="314">
        <f>T52+9388620+82159201</f>
        <v>161714979</v>
      </c>
      <c r="U46" s="314">
        <v>164300000</v>
      </c>
    </row>
    <row r="47" spans="1:21" ht="15.6" x14ac:dyDescent="0.3">
      <c r="B47" s="674" t="s">
        <v>272</v>
      </c>
      <c r="C47" s="675"/>
      <c r="D47" s="314"/>
      <c r="E47" s="314"/>
      <c r="F47" s="314"/>
      <c r="G47" s="314"/>
      <c r="H47" s="314"/>
      <c r="I47" s="314">
        <f t="shared" ref="I47:Q47" si="0">I45-I46</f>
        <v>6912983</v>
      </c>
      <c r="J47" s="314">
        <f t="shared" si="0"/>
        <v>-193441</v>
      </c>
      <c r="K47" s="314">
        <f t="shared" si="0"/>
        <v>-11664489</v>
      </c>
      <c r="L47" s="314">
        <f t="shared" si="0"/>
        <v>-2838133</v>
      </c>
      <c r="M47" s="314">
        <f t="shared" si="0"/>
        <v>-3224191</v>
      </c>
      <c r="N47" s="314">
        <f t="shared" si="0"/>
        <v>9086132</v>
      </c>
      <c r="O47" s="314">
        <f t="shared" si="0"/>
        <v>12712553</v>
      </c>
      <c r="P47" s="314">
        <f t="shared" si="0"/>
        <v>7067573</v>
      </c>
      <c r="Q47" s="314">
        <f t="shared" si="0"/>
        <v>3330519</v>
      </c>
      <c r="R47" s="314">
        <v>3100000</v>
      </c>
      <c r="S47" s="314">
        <f>S45-S46</f>
        <v>-7267010</v>
      </c>
      <c r="T47" s="314">
        <f>T45-T46</f>
        <v>-6301864</v>
      </c>
      <c r="U47" s="314">
        <f>U45-U46</f>
        <v>7228000</v>
      </c>
    </row>
    <row r="48" spans="1:21" ht="15.6" x14ac:dyDescent="0.3">
      <c r="B48" s="672" t="s">
        <v>257</v>
      </c>
      <c r="C48" s="673"/>
      <c r="D48" s="315"/>
      <c r="E48" s="315"/>
      <c r="F48" s="315"/>
      <c r="G48" s="315"/>
      <c r="H48" s="315"/>
      <c r="I48" s="315">
        <v>18402835</v>
      </c>
      <c r="J48" s="315">
        <f>12950203</f>
        <v>12950203</v>
      </c>
      <c r="K48" s="315">
        <v>19619449</v>
      </c>
      <c r="L48" s="315">
        <v>32486866</v>
      </c>
      <c r="M48" s="315">
        <v>45986753</v>
      </c>
      <c r="N48" s="315">
        <v>55541226</v>
      </c>
      <c r="O48" s="315">
        <v>54684227</v>
      </c>
      <c r="P48" s="315">
        <v>52632569</v>
      </c>
      <c r="Q48" s="315">
        <v>52126830</v>
      </c>
      <c r="R48" s="315">
        <v>50390695</v>
      </c>
      <c r="S48" s="315">
        <v>48785576</v>
      </c>
      <c r="T48" s="315">
        <v>45332450</v>
      </c>
      <c r="U48" s="315">
        <v>55763022</v>
      </c>
    </row>
    <row r="49" spans="1:21" ht="15.6" x14ac:dyDescent="0.3">
      <c r="B49" s="672" t="s">
        <v>252</v>
      </c>
      <c r="C49" s="673"/>
      <c r="D49" s="315"/>
      <c r="E49" s="315"/>
      <c r="F49" s="315"/>
      <c r="G49" s="315"/>
      <c r="H49" s="315"/>
      <c r="I49" s="315">
        <v>1906628</v>
      </c>
      <c r="J49" s="315">
        <f>1864326</f>
        <v>1864326</v>
      </c>
      <c r="K49" s="315">
        <v>2697651</v>
      </c>
      <c r="L49" s="315">
        <v>3398192</v>
      </c>
      <c r="M49" s="315">
        <v>4398786</v>
      </c>
      <c r="N49" s="315">
        <v>4014768</v>
      </c>
      <c r="O49" s="315">
        <v>3783348</v>
      </c>
      <c r="P49" s="315">
        <v>4281145</v>
      </c>
      <c r="Q49" s="315">
        <v>4007946</v>
      </c>
      <c r="R49" s="315">
        <v>3930819</v>
      </c>
      <c r="S49" s="315">
        <v>4381382</v>
      </c>
      <c r="T49" s="315">
        <v>4305188</v>
      </c>
      <c r="U49" s="315">
        <v>3953830</v>
      </c>
    </row>
    <row r="50" spans="1:21" ht="15.6" x14ac:dyDescent="0.3">
      <c r="B50" s="672" t="s">
        <v>253</v>
      </c>
      <c r="C50" s="673"/>
      <c r="D50" s="315"/>
      <c r="E50" s="315"/>
      <c r="F50" s="315"/>
      <c r="G50" s="315"/>
      <c r="H50" s="315"/>
      <c r="I50" s="315">
        <v>3125327</v>
      </c>
      <c r="J50" s="315">
        <v>2987860</v>
      </c>
      <c r="K50" s="315">
        <v>3369295</v>
      </c>
      <c r="L50" s="315">
        <v>4174314</v>
      </c>
      <c r="M50" s="315">
        <v>3798585</v>
      </c>
      <c r="N50" s="315">
        <v>3656991</v>
      </c>
      <c r="O50" s="315">
        <v>3958840</v>
      </c>
      <c r="P50" s="315">
        <v>3974412</v>
      </c>
      <c r="Q50" s="315">
        <v>4128803</v>
      </c>
      <c r="R50" s="315">
        <v>4469001</v>
      </c>
      <c r="S50" s="315">
        <v>4925942</v>
      </c>
      <c r="T50" s="315">
        <v>4455940</v>
      </c>
      <c r="U50" s="315">
        <v>4471268</v>
      </c>
    </row>
    <row r="51" spans="1:21" ht="15.6" x14ac:dyDescent="0.3">
      <c r="B51" s="674" t="s">
        <v>2</v>
      </c>
      <c r="C51" s="675"/>
      <c r="D51" s="314">
        <v>52774445</v>
      </c>
      <c r="E51" s="314">
        <v>54529955</v>
      </c>
      <c r="F51" s="314">
        <v>57038454</v>
      </c>
      <c r="G51" s="314">
        <v>60052452</v>
      </c>
      <c r="H51" s="314">
        <v>75305539</v>
      </c>
      <c r="I51" s="314">
        <v>78138494</v>
      </c>
      <c r="J51" s="314">
        <v>83806563</v>
      </c>
      <c r="K51" s="314">
        <v>89330760</v>
      </c>
      <c r="L51" s="314">
        <v>94869078</v>
      </c>
      <c r="M51" s="316">
        <v>93579879</v>
      </c>
      <c r="N51" s="316">
        <v>88637124</v>
      </c>
      <c r="O51" s="316">
        <v>85550127</v>
      </c>
      <c r="P51" s="316">
        <v>85181918</v>
      </c>
      <c r="Q51" s="316">
        <v>83869250</v>
      </c>
      <c r="R51" s="316">
        <v>84483769</v>
      </c>
      <c r="S51" s="316">
        <v>87024402</v>
      </c>
      <c r="T51" s="316">
        <v>87629905</v>
      </c>
      <c r="U51" s="316">
        <v>90881053</v>
      </c>
    </row>
    <row r="52" spans="1:21" ht="15.6" x14ac:dyDescent="0.3">
      <c r="B52" s="674" t="s">
        <v>3</v>
      </c>
      <c r="C52" s="675"/>
      <c r="D52" s="314">
        <v>39400121</v>
      </c>
      <c r="E52" s="314">
        <v>40360425</v>
      </c>
      <c r="F52" s="314">
        <v>43826712</v>
      </c>
      <c r="G52" s="289">
        <v>46861930</v>
      </c>
      <c r="H52" s="314">
        <v>60407400</v>
      </c>
      <c r="I52" s="314">
        <v>61673090</v>
      </c>
      <c r="J52" s="314">
        <v>65951436</v>
      </c>
      <c r="K52" s="314">
        <v>72005688</v>
      </c>
      <c r="L52" s="314">
        <v>75325602</v>
      </c>
      <c r="M52" s="316">
        <v>76680933</v>
      </c>
      <c r="N52" s="316">
        <v>73511315</v>
      </c>
      <c r="O52" s="316">
        <v>70492350</v>
      </c>
      <c r="P52" s="316">
        <v>69160311</v>
      </c>
      <c r="Q52" s="316">
        <v>68889906</v>
      </c>
      <c r="R52" s="316">
        <v>68524319</v>
      </c>
      <c r="S52" s="316">
        <v>70381314</v>
      </c>
      <c r="T52" s="316">
        <v>70167158</v>
      </c>
      <c r="U52" s="316">
        <v>71214417</v>
      </c>
    </row>
    <row r="53" spans="1:21" ht="15.6" x14ac:dyDescent="0.3">
      <c r="B53" s="674" t="s">
        <v>6</v>
      </c>
      <c r="C53" s="675"/>
      <c r="D53" s="314">
        <f>D51-D52</f>
        <v>13374324</v>
      </c>
      <c r="E53" s="314">
        <f t="shared" ref="E53:P53" si="1">E51-E52</f>
        <v>14169530</v>
      </c>
      <c r="F53" s="314">
        <f t="shared" si="1"/>
        <v>13211742</v>
      </c>
      <c r="G53" s="314">
        <f t="shared" si="1"/>
        <v>13190522</v>
      </c>
      <c r="H53" s="314">
        <f t="shared" si="1"/>
        <v>14898139</v>
      </c>
      <c r="I53" s="314">
        <f t="shared" si="1"/>
        <v>16465404</v>
      </c>
      <c r="J53" s="314">
        <f t="shared" si="1"/>
        <v>17855127</v>
      </c>
      <c r="K53" s="314">
        <f t="shared" si="1"/>
        <v>17325072</v>
      </c>
      <c r="L53" s="314">
        <f t="shared" si="1"/>
        <v>19543476</v>
      </c>
      <c r="M53" s="314">
        <f t="shared" si="1"/>
        <v>16898946</v>
      </c>
      <c r="N53" s="314">
        <f t="shared" si="1"/>
        <v>15125809</v>
      </c>
      <c r="O53" s="314">
        <f t="shared" si="1"/>
        <v>15057777</v>
      </c>
      <c r="P53" s="314">
        <f t="shared" si="1"/>
        <v>16021607</v>
      </c>
      <c r="Q53" s="314">
        <f>Q51-Q52</f>
        <v>14979344</v>
      </c>
      <c r="R53" s="314">
        <f>R51-R52</f>
        <v>15959450</v>
      </c>
      <c r="S53" s="314">
        <f>S51-S52</f>
        <v>16643088</v>
      </c>
      <c r="T53" s="314">
        <v>17462747</v>
      </c>
      <c r="U53" s="314">
        <v>19666636</v>
      </c>
    </row>
    <row r="54" spans="1:21" s="12" customFormat="1" ht="15.6" x14ac:dyDescent="0.3">
      <c r="A54" s="6"/>
      <c r="B54" s="297" t="s">
        <v>8</v>
      </c>
      <c r="C54" s="297"/>
      <c r="D54" s="258"/>
      <c r="E54" s="258"/>
      <c r="F54" s="258"/>
      <c r="G54" s="258"/>
      <c r="H54" s="258"/>
      <c r="I54" s="258"/>
      <c r="J54" s="258"/>
      <c r="K54" s="258"/>
      <c r="L54" s="258"/>
      <c r="M54" s="258"/>
      <c r="N54" s="258"/>
      <c r="O54" s="258"/>
      <c r="P54" s="258"/>
      <c r="Q54" s="258"/>
      <c r="R54" s="258"/>
      <c r="S54" s="258"/>
      <c r="T54" s="258"/>
      <c r="U54" s="258"/>
    </row>
    <row r="55" spans="1:21" ht="15.6" x14ac:dyDescent="0.3">
      <c r="B55" s="674" t="s">
        <v>4</v>
      </c>
      <c r="C55" s="675"/>
      <c r="D55" s="264"/>
      <c r="E55" s="289">
        <v>848851252</v>
      </c>
      <c r="F55" s="289">
        <v>893602382</v>
      </c>
      <c r="G55" s="289">
        <v>948397835</v>
      </c>
      <c r="H55" s="289">
        <v>1012302292</v>
      </c>
      <c r="I55" s="289">
        <v>1054062396</v>
      </c>
      <c r="J55" s="289">
        <v>1131584767</v>
      </c>
      <c r="K55" s="289">
        <v>1305303765</v>
      </c>
      <c r="L55" s="289">
        <v>1379887232</v>
      </c>
      <c r="M55" s="289">
        <v>1353133342</v>
      </c>
      <c r="N55" s="289">
        <v>1277506339</v>
      </c>
      <c r="O55" s="289">
        <v>1237182406</v>
      </c>
      <c r="P55" s="289">
        <v>1237108765</v>
      </c>
      <c r="Q55" s="289">
        <v>1214144300</v>
      </c>
      <c r="R55" s="289">
        <v>1224579061</v>
      </c>
      <c r="S55" s="289">
        <v>1266027839</v>
      </c>
      <c r="T55" s="289">
        <v>1282922473</v>
      </c>
      <c r="U55" s="289">
        <v>1349149437</v>
      </c>
    </row>
    <row r="56" spans="1:21" ht="15.6" x14ac:dyDescent="0.3">
      <c r="B56" s="674" t="s">
        <v>5</v>
      </c>
      <c r="C56" s="675"/>
      <c r="D56" s="289">
        <v>590522695</v>
      </c>
      <c r="E56" s="289">
        <v>611792036</v>
      </c>
      <c r="F56" s="289">
        <v>671381606</v>
      </c>
      <c r="G56" s="289">
        <v>725997341</v>
      </c>
      <c r="H56" s="289">
        <v>754182592</v>
      </c>
      <c r="I56" s="289">
        <v>765820749</v>
      </c>
      <c r="J56" s="289">
        <v>819174889</v>
      </c>
      <c r="K56" s="289">
        <v>993100883</v>
      </c>
      <c r="L56" s="289">
        <v>1064064122</v>
      </c>
      <c r="M56" s="289">
        <v>1072598298</v>
      </c>
      <c r="N56" s="289">
        <v>1027105322</v>
      </c>
      <c r="O56" s="289">
        <v>987186525</v>
      </c>
      <c r="P56" s="289">
        <v>973327078</v>
      </c>
      <c r="Q56" s="289">
        <v>972397241</v>
      </c>
      <c r="R56" s="289">
        <v>968583632</v>
      </c>
      <c r="S56" s="289">
        <v>999290454</v>
      </c>
      <c r="T56" s="289">
        <v>1000749811</v>
      </c>
      <c r="U56" s="289">
        <v>1023306039</v>
      </c>
    </row>
    <row r="57" spans="1:21" s="475" customFormat="1" ht="15.6" x14ac:dyDescent="0.3">
      <c r="A57" s="6"/>
      <c r="B57" s="482" t="s">
        <v>662</v>
      </c>
      <c r="C57" s="483"/>
      <c r="D57" s="264"/>
      <c r="E57" s="289">
        <f>E56/E55*100</f>
        <v>72.072937933300011</v>
      </c>
      <c r="F57" s="289">
        <f t="shared" ref="F57:U57" si="2">F56/F55*100</f>
        <v>75.132029583153013</v>
      </c>
      <c r="G57" s="289">
        <f t="shared" si="2"/>
        <v>76.549873292361539</v>
      </c>
      <c r="H57" s="289">
        <f t="shared" si="2"/>
        <v>74.501717319039713</v>
      </c>
      <c r="I57" s="289">
        <f t="shared" si="2"/>
        <v>72.654214011065051</v>
      </c>
      <c r="J57" s="289">
        <f>J56/J55*100</f>
        <v>72.391827186906625</v>
      </c>
      <c r="K57" s="289">
        <f t="shared" si="2"/>
        <v>76.0819749110277</v>
      </c>
      <c r="L57" s="289"/>
      <c r="M57" s="289">
        <f t="shared" si="2"/>
        <v>79.267745809488744</v>
      </c>
      <c r="N57" s="289">
        <f t="shared" si="2"/>
        <v>80.399234872211466</v>
      </c>
      <c r="O57" s="289">
        <f t="shared" si="2"/>
        <v>79.793126721848978</v>
      </c>
      <c r="P57" s="289">
        <f t="shared" si="2"/>
        <v>78.677567044802245</v>
      </c>
      <c r="Q57" s="289">
        <f t="shared" si="2"/>
        <v>80.089099870583752</v>
      </c>
      <c r="R57" s="289">
        <f t="shared" si="2"/>
        <v>79.095230585524448</v>
      </c>
      <c r="S57" s="484">
        <f t="shared" si="2"/>
        <v>78.931159585662158</v>
      </c>
      <c r="T57" s="484">
        <f t="shared" si="2"/>
        <v>78.005478278031532</v>
      </c>
      <c r="U57" s="484">
        <f t="shared" si="2"/>
        <v>75.84823526113216</v>
      </c>
    </row>
    <row r="58" spans="1:21" s="12" customFormat="1" ht="15.6" x14ac:dyDescent="0.3">
      <c r="A58" s="6"/>
      <c r="B58" s="297" t="s">
        <v>27</v>
      </c>
      <c r="C58" s="297"/>
      <c r="D58" s="258"/>
      <c r="E58" s="258"/>
      <c r="F58" s="258"/>
      <c r="G58" s="258"/>
      <c r="H58" s="258"/>
      <c r="I58" s="258"/>
      <c r="J58" s="258"/>
      <c r="K58" s="258"/>
      <c r="L58" s="258"/>
      <c r="M58" s="258"/>
      <c r="N58" s="258"/>
      <c r="O58" s="258"/>
      <c r="P58" s="258"/>
      <c r="Q58" s="258"/>
      <c r="R58" s="258"/>
      <c r="S58" s="258"/>
      <c r="T58" s="258"/>
      <c r="U58" s="258"/>
    </row>
    <row r="59" spans="1:21" ht="15.6" x14ac:dyDescent="0.3">
      <c r="B59" s="674" t="s">
        <v>261</v>
      </c>
      <c r="C59" s="675"/>
      <c r="D59" s="264"/>
      <c r="E59" s="264"/>
      <c r="F59" s="264"/>
      <c r="G59" s="264"/>
      <c r="H59" s="264"/>
      <c r="I59" s="264"/>
      <c r="J59" s="264"/>
      <c r="K59" s="264">
        <v>125909</v>
      </c>
      <c r="L59" s="264">
        <v>138000</v>
      </c>
      <c r="M59" s="264">
        <v>137545</v>
      </c>
      <c r="N59" s="264">
        <v>135206</v>
      </c>
      <c r="O59" s="264">
        <v>94727</v>
      </c>
      <c r="P59" s="264">
        <v>94316</v>
      </c>
      <c r="Q59" s="264">
        <v>100800</v>
      </c>
      <c r="R59" s="264">
        <v>100900</v>
      </c>
      <c r="S59" s="264">
        <v>98801</v>
      </c>
      <c r="T59" s="272">
        <v>101915</v>
      </c>
      <c r="U59" s="272">
        <v>103810</v>
      </c>
    </row>
    <row r="60" spans="1:21" ht="15.6" x14ac:dyDescent="0.3">
      <c r="B60" s="317" t="s">
        <v>269</v>
      </c>
      <c r="C60" s="318"/>
      <c r="D60" s="264"/>
      <c r="E60" s="264"/>
      <c r="F60" s="264"/>
      <c r="G60" s="264"/>
      <c r="H60" s="264"/>
      <c r="I60" s="264"/>
      <c r="J60" s="264"/>
      <c r="K60" s="264"/>
      <c r="L60" s="264">
        <v>8522</v>
      </c>
      <c r="M60" s="264">
        <v>10880</v>
      </c>
      <c r="N60" s="264">
        <v>10188</v>
      </c>
      <c r="O60" s="264">
        <v>10580</v>
      </c>
      <c r="P60" s="264">
        <v>10147</v>
      </c>
      <c r="Q60" s="264">
        <v>9174</v>
      </c>
      <c r="R60" s="264">
        <v>8890</v>
      </c>
      <c r="S60" s="264">
        <v>8420</v>
      </c>
      <c r="T60" s="272">
        <v>9334</v>
      </c>
      <c r="U60" s="272">
        <v>9086</v>
      </c>
    </row>
    <row r="61" spans="1:21" ht="15.6" x14ac:dyDescent="0.3">
      <c r="B61" s="674" t="s">
        <v>32</v>
      </c>
      <c r="C61" s="675"/>
      <c r="D61" s="272">
        <v>22122</v>
      </c>
      <c r="E61" s="272">
        <v>22647</v>
      </c>
      <c r="F61" s="272">
        <v>24621</v>
      </c>
      <c r="G61" s="272">
        <v>26043</v>
      </c>
      <c r="H61" s="272">
        <v>28238</v>
      </c>
      <c r="I61" s="272">
        <v>28238</v>
      </c>
      <c r="J61" s="272">
        <v>26995</v>
      </c>
      <c r="K61" s="272">
        <v>76089.2</v>
      </c>
      <c r="L61" s="272">
        <v>86806</v>
      </c>
      <c r="M61" s="272">
        <v>96689</v>
      </c>
      <c r="N61" s="272">
        <v>97767</v>
      </c>
      <c r="O61" s="272">
        <v>88788</v>
      </c>
      <c r="P61" s="272">
        <v>88436</v>
      </c>
      <c r="Q61" s="272">
        <v>90050</v>
      </c>
      <c r="R61" s="272">
        <v>91074</v>
      </c>
      <c r="S61" s="272">
        <v>92702</v>
      </c>
      <c r="T61" s="272">
        <v>92910.399999999994</v>
      </c>
      <c r="U61" s="272">
        <v>93827</v>
      </c>
    </row>
    <row r="62" spans="1:21" ht="15.6" x14ac:dyDescent="0.3">
      <c r="B62" s="246"/>
      <c r="C62" s="246"/>
      <c r="D62" s="272"/>
      <c r="E62" s="272"/>
      <c r="F62" s="272"/>
      <c r="G62" s="272"/>
      <c r="H62" s="272"/>
      <c r="I62" s="272"/>
      <c r="J62" s="272"/>
      <c r="K62" s="272"/>
      <c r="L62" s="272"/>
      <c r="M62" s="264"/>
      <c r="N62" s="264"/>
      <c r="O62" s="264"/>
      <c r="P62" s="264"/>
      <c r="Q62" s="264"/>
      <c r="R62" s="264"/>
      <c r="S62" s="264"/>
      <c r="T62" s="264"/>
    </row>
    <row r="63" spans="1:21" ht="15.6" x14ac:dyDescent="0.3">
      <c r="B63" s="676" t="s">
        <v>726</v>
      </c>
      <c r="C63" s="676"/>
      <c r="D63" s="676"/>
      <c r="E63" s="676"/>
      <c r="F63" s="676"/>
      <c r="G63" s="297"/>
      <c r="H63" s="297"/>
      <c r="I63" s="297"/>
      <c r="J63" s="297"/>
      <c r="K63" s="297"/>
      <c r="L63" s="297"/>
      <c r="M63" s="297"/>
      <c r="N63" s="297"/>
      <c r="O63" s="297"/>
      <c r="P63" s="297"/>
      <c r="Q63" s="297"/>
      <c r="R63" s="297"/>
      <c r="S63" s="297"/>
      <c r="T63" s="297"/>
      <c r="U63" s="297"/>
    </row>
    <row r="64" spans="1:21" ht="15.6" x14ac:dyDescent="0.3">
      <c r="B64" s="671" t="s">
        <v>864</v>
      </c>
      <c r="C64" s="671" t="s">
        <v>865</v>
      </c>
      <c r="D64" s="244">
        <v>2000</v>
      </c>
      <c r="E64" s="244">
        <v>2001</v>
      </c>
      <c r="F64" s="244">
        <v>2002</v>
      </c>
      <c r="G64" s="244">
        <v>2003</v>
      </c>
      <c r="H64" s="244">
        <v>2004</v>
      </c>
      <c r="I64" s="244">
        <v>2005</v>
      </c>
      <c r="J64" s="244">
        <v>2006</v>
      </c>
      <c r="K64" s="244">
        <v>2007</v>
      </c>
      <c r="L64" s="244">
        <v>2008</v>
      </c>
      <c r="M64" s="244">
        <v>2009</v>
      </c>
      <c r="N64" s="244">
        <v>2010</v>
      </c>
      <c r="O64" s="244">
        <v>2011</v>
      </c>
      <c r="P64" s="244">
        <v>2012</v>
      </c>
      <c r="Q64" s="244">
        <v>2013</v>
      </c>
      <c r="R64" s="244">
        <v>2014</v>
      </c>
      <c r="S64" s="244">
        <v>2015</v>
      </c>
      <c r="T64" s="244">
        <v>2016</v>
      </c>
      <c r="U64" s="244">
        <v>2017</v>
      </c>
    </row>
    <row r="65" spans="2:21" ht="15.6" x14ac:dyDescent="0.3">
      <c r="B65" s="246" t="s">
        <v>258</v>
      </c>
      <c r="C65" s="319" t="s">
        <v>233</v>
      </c>
      <c r="D65" s="272"/>
      <c r="E65" s="272"/>
      <c r="F65" s="272"/>
      <c r="G65" s="272"/>
      <c r="H65" s="272"/>
      <c r="I65" s="272"/>
      <c r="J65" s="272"/>
      <c r="K65" s="272">
        <v>9138000</v>
      </c>
      <c r="L65" s="272">
        <v>9921000</v>
      </c>
      <c r="M65" s="272">
        <v>10037000</v>
      </c>
      <c r="N65" s="272">
        <v>9682000</v>
      </c>
      <c r="O65" s="272">
        <v>9185000</v>
      </c>
      <c r="P65" s="272">
        <v>9081000</v>
      </c>
      <c r="Q65" s="272">
        <v>8829000</v>
      </c>
      <c r="R65" s="272">
        <v>9194000</v>
      </c>
      <c r="S65" s="272">
        <v>9685000</v>
      </c>
      <c r="T65" s="272">
        <v>9924000</v>
      </c>
      <c r="U65" s="272">
        <v>10300000</v>
      </c>
    </row>
    <row r="66" spans="2:21" ht="15.6" x14ac:dyDescent="0.3">
      <c r="B66" s="246" t="s">
        <v>259</v>
      </c>
      <c r="C66" s="319" t="s">
        <v>233</v>
      </c>
      <c r="D66" s="272"/>
      <c r="E66" s="272"/>
      <c r="F66" s="272"/>
      <c r="G66" s="272"/>
      <c r="H66" s="272"/>
      <c r="I66" s="272"/>
      <c r="J66" s="272"/>
      <c r="K66" s="320">
        <v>607.4</v>
      </c>
      <c r="L66" s="320">
        <v>695</v>
      </c>
      <c r="M66" s="272">
        <v>787.6</v>
      </c>
      <c r="N66" s="320">
        <v>787.8</v>
      </c>
      <c r="O66" s="320">
        <v>712.5</v>
      </c>
      <c r="P66" s="272">
        <v>704.9</v>
      </c>
      <c r="Q66" s="320">
        <v>708.8</v>
      </c>
      <c r="R66" s="320">
        <v>746.5</v>
      </c>
      <c r="S66" s="320">
        <v>787.4</v>
      </c>
      <c r="T66" s="320">
        <v>809</v>
      </c>
      <c r="U66" s="540">
        <v>832.5</v>
      </c>
    </row>
    <row r="67" spans="2:21" ht="15.6" x14ac:dyDescent="0.3">
      <c r="B67" s="301" t="s">
        <v>258</v>
      </c>
      <c r="C67" s="321" t="s">
        <v>234</v>
      </c>
      <c r="D67" s="322"/>
      <c r="E67" s="322"/>
      <c r="F67" s="322"/>
      <c r="G67" s="322"/>
      <c r="H67" s="322"/>
      <c r="I67" s="322"/>
      <c r="J67" s="322"/>
      <c r="K67" s="322">
        <v>10193000</v>
      </c>
      <c r="L67" s="322">
        <v>10488000</v>
      </c>
      <c r="M67" s="322">
        <v>10445000</v>
      </c>
      <c r="N67" s="322">
        <v>9959000</v>
      </c>
      <c r="O67" s="322">
        <v>9870000</v>
      </c>
      <c r="P67" s="322">
        <v>10184000</v>
      </c>
      <c r="Q67" s="322">
        <v>11047000</v>
      </c>
      <c r="R67" s="322">
        <v>9895000</v>
      </c>
      <c r="S67" s="322">
        <v>9439000</v>
      </c>
      <c r="T67" s="322">
        <v>9751000</v>
      </c>
      <c r="U67" s="272">
        <v>9826000</v>
      </c>
    </row>
    <row r="68" spans="2:21" ht="15.6" x14ac:dyDescent="0.3">
      <c r="B68" s="301" t="s">
        <v>259</v>
      </c>
      <c r="C68" s="321" t="s">
        <v>234</v>
      </c>
      <c r="D68" s="322"/>
      <c r="E68" s="322"/>
      <c r="F68" s="322"/>
      <c r="G68" s="322"/>
      <c r="H68" s="322"/>
      <c r="I68" s="322"/>
      <c r="J68" s="322"/>
      <c r="K68" s="323">
        <v>561.20000000000005</v>
      </c>
      <c r="L68" s="323">
        <v>621.70000000000005</v>
      </c>
      <c r="M68" s="322">
        <v>663.4</v>
      </c>
      <c r="N68" s="323">
        <v>637.70000000000005</v>
      </c>
      <c r="O68" s="323">
        <v>594.6</v>
      </c>
      <c r="P68" s="322">
        <v>597</v>
      </c>
      <c r="Q68" s="323">
        <v>640.9</v>
      </c>
      <c r="R68" s="323">
        <v>609.6</v>
      </c>
      <c r="S68" s="323">
        <v>585</v>
      </c>
      <c r="T68" s="323">
        <v>594.1</v>
      </c>
      <c r="U68" s="320">
        <v>580.70000000000005</v>
      </c>
    </row>
    <row r="69" spans="2:21" ht="15.6" x14ac:dyDescent="0.3">
      <c r="B69" s="246" t="s">
        <v>258</v>
      </c>
      <c r="C69" s="319" t="s">
        <v>168</v>
      </c>
      <c r="D69" s="272"/>
      <c r="E69" s="272"/>
      <c r="F69" s="272"/>
      <c r="G69" s="272"/>
      <c r="H69" s="272"/>
      <c r="I69" s="272"/>
      <c r="J69" s="272"/>
      <c r="K69" s="272">
        <v>82586000</v>
      </c>
      <c r="L69" s="272">
        <v>88853000</v>
      </c>
      <c r="M69" s="272">
        <v>88293000</v>
      </c>
      <c r="N69" s="272">
        <v>86389000</v>
      </c>
      <c r="O69" s="272">
        <v>82747000</v>
      </c>
      <c r="P69" s="272">
        <v>80666000</v>
      </c>
      <c r="Q69" s="272">
        <v>79980000</v>
      </c>
      <c r="R69" s="272">
        <v>80617000</v>
      </c>
      <c r="S69" s="272">
        <v>81501000</v>
      </c>
      <c r="T69" s="272">
        <v>83461000</v>
      </c>
      <c r="U69" s="272">
        <v>84056000</v>
      </c>
    </row>
    <row r="70" spans="2:21" ht="15.6" x14ac:dyDescent="0.3">
      <c r="B70" s="246" t="s">
        <v>259</v>
      </c>
      <c r="C70" s="319" t="s">
        <v>168</v>
      </c>
      <c r="D70" s="272"/>
      <c r="E70" s="272"/>
      <c r="F70" s="272"/>
      <c r="G70" s="272"/>
      <c r="H70" s="272"/>
      <c r="I70" s="272"/>
      <c r="J70" s="272"/>
      <c r="K70" s="320">
        <v>7440.6</v>
      </c>
      <c r="L70" s="320">
        <v>8500.4</v>
      </c>
      <c r="M70" s="272">
        <v>9526.2000000000007</v>
      </c>
      <c r="N70" s="320">
        <v>9964.9</v>
      </c>
      <c r="O70" s="320">
        <v>8815.1</v>
      </c>
      <c r="P70" s="272">
        <v>8669.5</v>
      </c>
      <c r="Q70" s="320">
        <v>8798.4</v>
      </c>
      <c r="R70" s="320">
        <v>8986.5</v>
      </c>
      <c r="S70" s="320">
        <v>9069.9</v>
      </c>
      <c r="T70" s="320">
        <v>9257.7000000000007</v>
      </c>
      <c r="U70" s="540">
        <v>9231.6</v>
      </c>
    </row>
    <row r="71" spans="2:21" ht="15.6" x14ac:dyDescent="0.3">
      <c r="B71" s="301" t="s">
        <v>258</v>
      </c>
      <c r="C71" s="321" t="s">
        <v>169</v>
      </c>
      <c r="D71" s="322"/>
      <c r="E71" s="322"/>
      <c r="F71" s="322"/>
      <c r="G71" s="322"/>
      <c r="H71" s="322"/>
      <c r="I71" s="322"/>
      <c r="J71" s="322"/>
      <c r="K71" s="322">
        <v>16698000</v>
      </c>
      <c r="L71" s="322">
        <v>18108000</v>
      </c>
      <c r="M71" s="322">
        <v>17917000</v>
      </c>
      <c r="N71" s="322">
        <v>17488000</v>
      </c>
      <c r="O71" s="322">
        <v>16440000</v>
      </c>
      <c r="P71" s="322">
        <v>16725000</v>
      </c>
      <c r="Q71" s="322">
        <v>16719000</v>
      </c>
      <c r="R71" s="322">
        <v>16843000</v>
      </c>
      <c r="S71" s="322">
        <v>16994000</v>
      </c>
      <c r="T71" s="322">
        <v>17084000</v>
      </c>
      <c r="U71" s="322">
        <v>16987000</v>
      </c>
    </row>
    <row r="72" spans="2:21" ht="15.6" x14ac:dyDescent="0.3">
      <c r="B72" s="301" t="s">
        <v>259</v>
      </c>
      <c r="C72" s="321" t="s">
        <v>169</v>
      </c>
      <c r="D72" s="322"/>
      <c r="E72" s="322"/>
      <c r="F72" s="322"/>
      <c r="G72" s="322"/>
      <c r="H72" s="322"/>
      <c r="I72" s="322"/>
      <c r="J72" s="322"/>
      <c r="K72" s="323">
        <v>984.2</v>
      </c>
      <c r="L72" s="323">
        <v>1140.4000000000001</v>
      </c>
      <c r="M72" s="322">
        <v>1224.0999999999999</v>
      </c>
      <c r="N72" s="323">
        <v>1204.0999999999999</v>
      </c>
      <c r="O72" s="323">
        <v>1069.2</v>
      </c>
      <c r="P72" s="322">
        <v>1090.5999999999999</v>
      </c>
      <c r="Q72" s="323">
        <v>1122</v>
      </c>
      <c r="R72" s="323">
        <v>1144.4000000000001</v>
      </c>
      <c r="S72" s="323">
        <v>1170.5</v>
      </c>
      <c r="T72" s="322">
        <v>1154</v>
      </c>
      <c r="U72" s="328">
        <v>1119.8</v>
      </c>
    </row>
    <row r="73" spans="2:21" ht="15.6" x14ac:dyDescent="0.3">
      <c r="B73" s="246" t="s">
        <v>258</v>
      </c>
      <c r="C73" s="319" t="s">
        <v>170</v>
      </c>
      <c r="D73" s="272"/>
      <c r="E73" s="272"/>
      <c r="F73" s="272"/>
      <c r="G73" s="272"/>
      <c r="H73" s="272"/>
      <c r="I73" s="272"/>
      <c r="J73" s="272"/>
      <c r="K73" s="272">
        <v>615000</v>
      </c>
      <c r="L73" s="272">
        <v>635000</v>
      </c>
      <c r="M73" s="272">
        <v>673000</v>
      </c>
      <c r="N73" s="272">
        <v>583000</v>
      </c>
      <c r="O73" s="272">
        <v>598000</v>
      </c>
      <c r="P73" s="272">
        <v>583000</v>
      </c>
      <c r="Q73" s="272">
        <v>603000</v>
      </c>
      <c r="R73" s="272">
        <v>534000</v>
      </c>
      <c r="S73" s="272">
        <v>562000</v>
      </c>
      <c r="T73" s="272">
        <v>664000</v>
      </c>
      <c r="U73" s="272">
        <v>590000</v>
      </c>
    </row>
    <row r="74" spans="2:21" ht="15.6" x14ac:dyDescent="0.3">
      <c r="B74" s="246" t="s">
        <v>259</v>
      </c>
      <c r="C74" s="319" t="s">
        <v>170</v>
      </c>
      <c r="D74" s="272"/>
      <c r="E74" s="272"/>
      <c r="F74" s="272"/>
      <c r="G74" s="272"/>
      <c r="H74" s="272"/>
      <c r="I74" s="272"/>
      <c r="J74" s="272"/>
      <c r="K74" s="320">
        <v>46.3</v>
      </c>
      <c r="L74" s="320">
        <v>47.1</v>
      </c>
      <c r="M74" s="320">
        <v>53.6</v>
      </c>
      <c r="N74" s="320">
        <v>48.2</v>
      </c>
      <c r="O74" s="320">
        <v>47.1</v>
      </c>
      <c r="P74" s="272">
        <v>41.9</v>
      </c>
      <c r="Q74" s="320">
        <v>42.7</v>
      </c>
      <c r="R74" s="320">
        <v>36.5</v>
      </c>
      <c r="S74" s="320">
        <v>34.5</v>
      </c>
      <c r="T74" s="320">
        <v>39.6</v>
      </c>
      <c r="U74" s="320">
        <v>34.700000000000003</v>
      </c>
    </row>
    <row r="75" spans="2:21" ht="15.6" x14ac:dyDescent="0.3">
      <c r="B75" s="301" t="s">
        <v>258</v>
      </c>
      <c r="C75" s="321" t="s">
        <v>171</v>
      </c>
      <c r="D75" s="322"/>
      <c r="E75" s="322"/>
      <c r="F75" s="322"/>
      <c r="G75" s="322"/>
      <c r="H75" s="322"/>
      <c r="I75" s="322"/>
      <c r="J75" s="322"/>
      <c r="K75" s="322">
        <v>13225000</v>
      </c>
      <c r="L75" s="322">
        <v>13320000</v>
      </c>
      <c r="M75" s="322">
        <v>13740000</v>
      </c>
      <c r="N75" s="322">
        <v>13181000</v>
      </c>
      <c r="O75" s="322">
        <v>12561000</v>
      </c>
      <c r="P75" s="322">
        <v>11876000</v>
      </c>
      <c r="Q75" s="322">
        <v>11589000</v>
      </c>
      <c r="R75" s="322">
        <v>11439000</v>
      </c>
      <c r="S75" s="322">
        <v>12079000</v>
      </c>
      <c r="T75" s="322">
        <v>12255000</v>
      </c>
      <c r="U75" s="322">
        <v>12801000</v>
      </c>
    </row>
    <row r="76" spans="2:21" ht="15.6" x14ac:dyDescent="0.3">
      <c r="B76" s="301" t="s">
        <v>259</v>
      </c>
      <c r="C76" s="321" t="s">
        <v>171</v>
      </c>
      <c r="D76" s="322"/>
      <c r="E76" s="322"/>
      <c r="F76" s="322"/>
      <c r="G76" s="322"/>
      <c r="H76" s="322"/>
      <c r="I76" s="322"/>
      <c r="J76" s="322"/>
      <c r="K76" s="322">
        <v>1170.8</v>
      </c>
      <c r="L76" s="322">
        <v>1228.0999999999999</v>
      </c>
      <c r="M76" s="322">
        <v>1390.8</v>
      </c>
      <c r="N76" s="323">
        <v>1382.4</v>
      </c>
      <c r="O76" s="323">
        <v>1247.4000000000001</v>
      </c>
      <c r="P76" s="322">
        <v>1204.2</v>
      </c>
      <c r="Q76" s="323">
        <v>1213.5999999999999</v>
      </c>
      <c r="R76" s="323">
        <v>1215.5</v>
      </c>
      <c r="S76" s="323">
        <v>1250.8</v>
      </c>
      <c r="T76" s="323">
        <v>1256.5</v>
      </c>
      <c r="U76" s="328">
        <v>1247.8</v>
      </c>
    </row>
    <row r="77" spans="2:21" ht="15.6" x14ac:dyDescent="0.3">
      <c r="B77" s="246" t="s">
        <v>258</v>
      </c>
      <c r="C77" s="319" t="s">
        <v>172</v>
      </c>
      <c r="D77" s="272"/>
      <c r="E77" s="272"/>
      <c r="F77" s="272"/>
      <c r="G77" s="272"/>
      <c r="H77" s="272"/>
      <c r="I77" s="272"/>
      <c r="J77" s="272"/>
      <c r="K77" s="272">
        <v>44590000</v>
      </c>
      <c r="L77" s="272">
        <v>48619000</v>
      </c>
      <c r="M77" s="272">
        <v>48772000</v>
      </c>
      <c r="N77" s="272">
        <v>46737000</v>
      </c>
      <c r="O77" s="272">
        <v>46116000</v>
      </c>
      <c r="P77" s="272">
        <v>45243000</v>
      </c>
      <c r="Q77" s="272">
        <v>45197000</v>
      </c>
      <c r="R77" s="272">
        <v>45406000</v>
      </c>
      <c r="S77" s="272">
        <v>47680000</v>
      </c>
      <c r="T77" s="272">
        <v>49155000</v>
      </c>
      <c r="U77" s="272">
        <v>52183000</v>
      </c>
    </row>
    <row r="78" spans="2:21" ht="15.6" x14ac:dyDescent="0.3">
      <c r="B78" s="246" t="s">
        <v>259</v>
      </c>
      <c r="C78" s="319" t="s">
        <v>172</v>
      </c>
      <c r="D78" s="272"/>
      <c r="E78" s="272"/>
      <c r="F78" s="272"/>
      <c r="G78" s="272"/>
      <c r="H78" s="272"/>
      <c r="I78" s="272"/>
      <c r="J78" s="272"/>
      <c r="K78" s="320">
        <v>3600.1</v>
      </c>
      <c r="L78" s="320">
        <v>4218.8</v>
      </c>
      <c r="M78" s="272">
        <v>4615.8</v>
      </c>
      <c r="N78" s="320">
        <v>4693.1000000000004</v>
      </c>
      <c r="O78" s="320">
        <v>4348.8999999999996</v>
      </c>
      <c r="P78" s="272">
        <v>4355.6000000000004</v>
      </c>
      <c r="Q78" s="320">
        <v>4470.7</v>
      </c>
      <c r="R78" s="320">
        <v>4591.5</v>
      </c>
      <c r="S78" s="320">
        <v>4793.3</v>
      </c>
      <c r="T78" s="320">
        <v>4970.8</v>
      </c>
      <c r="U78" s="540">
        <v>5119.8999999999996</v>
      </c>
    </row>
    <row r="79" spans="2:21" ht="15.6" x14ac:dyDescent="0.3">
      <c r="B79" s="301" t="s">
        <v>258</v>
      </c>
      <c r="C79" s="321" t="s">
        <v>235</v>
      </c>
      <c r="D79" s="322"/>
      <c r="E79" s="322"/>
      <c r="F79" s="322"/>
      <c r="G79" s="322"/>
      <c r="H79" s="322"/>
      <c r="I79" s="322"/>
      <c r="J79" s="322"/>
      <c r="K79" s="322">
        <v>14708000</v>
      </c>
      <c r="L79" s="322">
        <v>15692000</v>
      </c>
      <c r="M79" s="322">
        <v>15992000</v>
      </c>
      <c r="N79" s="322">
        <v>14757000</v>
      </c>
      <c r="O79" s="322">
        <v>14143000</v>
      </c>
      <c r="P79" s="322">
        <v>14258000</v>
      </c>
      <c r="Q79" s="322">
        <v>14435000</v>
      </c>
      <c r="R79" s="322">
        <v>14642000</v>
      </c>
      <c r="S79" s="322">
        <v>15368000</v>
      </c>
      <c r="T79" s="322">
        <v>15168000</v>
      </c>
      <c r="U79" s="322">
        <v>15690000</v>
      </c>
    </row>
    <row r="80" spans="2:21" ht="15.6" x14ac:dyDescent="0.3">
      <c r="B80" s="301" t="s">
        <v>259</v>
      </c>
      <c r="C80" s="321" t="s">
        <v>235</v>
      </c>
      <c r="D80" s="322"/>
      <c r="E80" s="322"/>
      <c r="F80" s="322"/>
      <c r="G80" s="322"/>
      <c r="H80" s="322"/>
      <c r="I80" s="322"/>
      <c r="J80" s="322"/>
      <c r="K80" s="324">
        <v>1166.3</v>
      </c>
      <c r="L80" s="324">
        <v>1325.7</v>
      </c>
      <c r="M80" s="325">
        <v>1545.7</v>
      </c>
      <c r="N80" s="323">
        <v>1418.2</v>
      </c>
      <c r="O80" s="323">
        <v>1269.7</v>
      </c>
      <c r="P80" s="322">
        <v>1292.4000000000001</v>
      </c>
      <c r="Q80" s="323">
        <v>1356.4</v>
      </c>
      <c r="R80" s="323">
        <v>1363.6</v>
      </c>
      <c r="S80" s="323">
        <v>1391.1</v>
      </c>
      <c r="T80" s="323">
        <v>1400.8</v>
      </c>
      <c r="U80" s="323">
        <v>1414.5</v>
      </c>
    </row>
    <row r="81" spans="2:21" ht="15.6" x14ac:dyDescent="0.3">
      <c r="B81" s="246" t="s">
        <v>258</v>
      </c>
      <c r="C81" s="326" t="s">
        <v>345</v>
      </c>
      <c r="D81" s="272"/>
      <c r="E81" s="272"/>
      <c r="F81" s="272"/>
      <c r="G81" s="272"/>
      <c r="H81" s="272"/>
      <c r="I81" s="272"/>
      <c r="J81" s="272"/>
      <c r="K81" s="320"/>
      <c r="L81" s="320"/>
      <c r="M81" s="272"/>
      <c r="N81" s="320"/>
      <c r="O81" s="272">
        <v>16763000</v>
      </c>
      <c r="P81" s="272">
        <v>16818000</v>
      </c>
      <c r="Q81" s="272">
        <v>17096000</v>
      </c>
      <c r="R81" s="272">
        <v>16870000</v>
      </c>
      <c r="S81" s="272">
        <v>18178000</v>
      </c>
      <c r="T81" s="272">
        <v>18318000</v>
      </c>
      <c r="U81" s="272">
        <v>18779000</v>
      </c>
    </row>
    <row r="82" spans="2:21" ht="15.6" x14ac:dyDescent="0.3">
      <c r="B82" s="246" t="s">
        <v>259</v>
      </c>
      <c r="C82" s="326" t="s">
        <v>345</v>
      </c>
      <c r="D82" s="272"/>
      <c r="E82" s="272"/>
      <c r="F82" s="272"/>
      <c r="G82" s="272"/>
      <c r="H82" s="272"/>
      <c r="I82" s="272"/>
      <c r="J82" s="272"/>
      <c r="K82" s="320"/>
      <c r="L82" s="320"/>
      <c r="M82" s="272"/>
      <c r="N82" s="320"/>
      <c r="O82" s="320">
        <v>1517.9</v>
      </c>
      <c r="P82" s="272">
        <v>1523.6</v>
      </c>
      <c r="Q82" s="320">
        <v>1606.2</v>
      </c>
      <c r="R82" s="320">
        <v>1595.9</v>
      </c>
      <c r="S82" s="320">
        <v>1653.9</v>
      </c>
      <c r="T82" s="320">
        <v>1696.8</v>
      </c>
      <c r="U82" s="540">
        <v>1754.7</v>
      </c>
    </row>
    <row r="83" spans="2:21" ht="15.6" x14ac:dyDescent="0.3">
      <c r="B83" s="301" t="s">
        <v>258</v>
      </c>
      <c r="C83" s="321" t="s">
        <v>346</v>
      </c>
      <c r="D83" s="322"/>
      <c r="E83" s="322"/>
      <c r="F83" s="322"/>
      <c r="G83" s="322"/>
      <c r="H83" s="322"/>
      <c r="I83" s="322"/>
      <c r="J83" s="322"/>
      <c r="K83" s="324"/>
      <c r="L83" s="324"/>
      <c r="M83" s="325"/>
      <c r="N83" s="323"/>
      <c r="O83" s="323">
        <v>6742000</v>
      </c>
      <c r="P83" s="322">
        <v>6938000</v>
      </c>
      <c r="Q83" s="322">
        <v>6743000</v>
      </c>
      <c r="R83" s="322">
        <v>6759000</v>
      </c>
      <c r="S83" s="322">
        <v>7330000</v>
      </c>
      <c r="T83" s="322">
        <v>7713000</v>
      </c>
      <c r="U83" s="322">
        <v>8059000</v>
      </c>
    </row>
    <row r="84" spans="2:21" ht="15.6" x14ac:dyDescent="0.3">
      <c r="B84" s="301" t="s">
        <v>259</v>
      </c>
      <c r="C84" s="321" t="s">
        <v>346</v>
      </c>
      <c r="D84" s="322"/>
      <c r="E84" s="322"/>
      <c r="F84" s="322"/>
      <c r="G84" s="322"/>
      <c r="H84" s="322"/>
      <c r="I84" s="322"/>
      <c r="J84" s="322"/>
      <c r="K84" s="324"/>
      <c r="L84" s="324"/>
      <c r="M84" s="325"/>
      <c r="N84" s="323"/>
      <c r="O84" s="323">
        <v>585.79999999999995</v>
      </c>
      <c r="P84" s="322">
        <v>597.20000000000005</v>
      </c>
      <c r="Q84" s="323">
        <v>596</v>
      </c>
      <c r="R84" s="323">
        <v>602.6</v>
      </c>
      <c r="S84" s="323">
        <v>641.20000000000005</v>
      </c>
      <c r="T84" s="323">
        <v>664.2</v>
      </c>
      <c r="U84" s="323">
        <v>700.1</v>
      </c>
    </row>
    <row r="85" spans="2:21" ht="15.6" x14ac:dyDescent="0.3">
      <c r="B85" s="246" t="s">
        <v>258</v>
      </c>
      <c r="C85" s="319" t="s">
        <v>236</v>
      </c>
      <c r="D85" s="272"/>
      <c r="E85" s="272"/>
      <c r="F85" s="272"/>
      <c r="G85" s="272"/>
      <c r="H85" s="272"/>
      <c r="I85" s="272"/>
      <c r="J85" s="272"/>
      <c r="K85" s="272">
        <v>23958000</v>
      </c>
      <c r="L85" s="272">
        <v>25138000</v>
      </c>
      <c r="M85" s="272">
        <v>25486000</v>
      </c>
      <c r="N85" s="272">
        <v>24250000</v>
      </c>
      <c r="O85" s="388"/>
      <c r="P85" s="389"/>
      <c r="Q85" s="389"/>
      <c r="R85" s="389"/>
      <c r="S85" s="389"/>
      <c r="T85" s="389"/>
      <c r="U85" s="389"/>
    </row>
    <row r="86" spans="2:21" ht="15.6" x14ac:dyDescent="0.3">
      <c r="B86" s="246" t="s">
        <v>259</v>
      </c>
      <c r="C86" s="319" t="s">
        <v>236</v>
      </c>
      <c r="D86" s="272"/>
      <c r="E86" s="272"/>
      <c r="F86" s="272"/>
      <c r="G86" s="272"/>
      <c r="H86" s="272"/>
      <c r="I86" s="272"/>
      <c r="J86" s="272"/>
      <c r="K86" s="320">
        <v>1726.5</v>
      </c>
      <c r="L86" s="320">
        <v>1982.4</v>
      </c>
      <c r="M86" s="272">
        <v>2239.8000000000002</v>
      </c>
      <c r="N86" s="320">
        <v>2253.1</v>
      </c>
      <c r="O86" s="390"/>
      <c r="P86" s="389"/>
      <c r="Q86" s="390"/>
      <c r="R86" s="389"/>
      <c r="S86" s="390"/>
      <c r="T86" s="390"/>
      <c r="U86" s="390"/>
    </row>
    <row r="87" spans="2:21" ht="15.6" x14ac:dyDescent="0.3">
      <c r="B87" s="301" t="s">
        <v>258</v>
      </c>
      <c r="C87" s="321" t="s">
        <v>175</v>
      </c>
      <c r="D87" s="322"/>
      <c r="E87" s="322"/>
      <c r="F87" s="322"/>
      <c r="G87" s="322"/>
      <c r="H87" s="322"/>
      <c r="I87" s="322"/>
      <c r="J87" s="322"/>
      <c r="K87" s="322">
        <v>21505000</v>
      </c>
      <c r="L87" s="322">
        <v>23150000</v>
      </c>
      <c r="M87" s="322">
        <v>23358000</v>
      </c>
      <c r="N87" s="322">
        <v>22256000</v>
      </c>
      <c r="O87" s="322">
        <v>21226000</v>
      </c>
      <c r="P87" s="322">
        <v>21042000</v>
      </c>
      <c r="Q87" s="322">
        <v>20808000</v>
      </c>
      <c r="R87" s="322">
        <v>20454000</v>
      </c>
      <c r="S87" s="322">
        <v>21443000</v>
      </c>
      <c r="T87" s="322">
        <v>22176000</v>
      </c>
      <c r="U87" s="322">
        <v>22880000</v>
      </c>
    </row>
    <row r="88" spans="2:21" ht="15.6" x14ac:dyDescent="0.3">
      <c r="B88" s="301" t="s">
        <v>259</v>
      </c>
      <c r="C88" s="321" t="s">
        <v>175</v>
      </c>
      <c r="D88" s="322"/>
      <c r="E88" s="322"/>
      <c r="F88" s="322"/>
      <c r="G88" s="322"/>
      <c r="H88" s="322"/>
      <c r="I88" s="322"/>
      <c r="J88" s="322"/>
      <c r="K88" s="323">
        <v>1463.8</v>
      </c>
      <c r="L88" s="323">
        <v>1692.6</v>
      </c>
      <c r="M88" s="323">
        <v>1896.8</v>
      </c>
      <c r="N88" s="323">
        <v>1916.1</v>
      </c>
      <c r="O88" s="323">
        <v>1746</v>
      </c>
      <c r="P88" s="323">
        <v>1741.5</v>
      </c>
      <c r="Q88" s="323">
        <v>1763.6</v>
      </c>
      <c r="R88" s="323">
        <v>1774.8</v>
      </c>
      <c r="S88" s="323">
        <v>1838.6</v>
      </c>
      <c r="T88" s="323">
        <v>1893.3</v>
      </c>
      <c r="U88" s="328">
        <v>1952.9</v>
      </c>
    </row>
    <row r="89" spans="2:21" ht="15.6" x14ac:dyDescent="0.3">
      <c r="B89" s="246" t="s">
        <v>258</v>
      </c>
      <c r="C89" s="319" t="s">
        <v>176</v>
      </c>
      <c r="D89" s="272"/>
      <c r="E89" s="272"/>
      <c r="F89" s="272"/>
      <c r="G89" s="272"/>
      <c r="H89" s="272"/>
      <c r="I89" s="272"/>
      <c r="J89" s="272"/>
      <c r="K89" s="272">
        <v>17347000</v>
      </c>
      <c r="L89" s="272">
        <v>18885000</v>
      </c>
      <c r="M89" s="272">
        <v>18059000</v>
      </c>
      <c r="N89" s="272">
        <v>16557000</v>
      </c>
      <c r="O89" s="272">
        <v>15941000</v>
      </c>
      <c r="P89" s="272">
        <v>15473000</v>
      </c>
      <c r="Q89" s="272">
        <v>15524000</v>
      </c>
      <c r="R89" s="272">
        <v>15425000</v>
      </c>
      <c r="S89" s="272">
        <v>15716000</v>
      </c>
      <c r="T89" s="272">
        <v>15730000</v>
      </c>
      <c r="U89" s="272">
        <v>16215000</v>
      </c>
    </row>
    <row r="90" spans="2:21" ht="15.6" x14ac:dyDescent="0.3">
      <c r="B90" s="246" t="s">
        <v>259</v>
      </c>
      <c r="C90" s="319" t="s">
        <v>176</v>
      </c>
      <c r="D90" s="272"/>
      <c r="E90" s="272"/>
      <c r="F90" s="272"/>
      <c r="G90" s="272"/>
      <c r="H90" s="272"/>
      <c r="I90" s="272"/>
      <c r="J90" s="272"/>
      <c r="K90" s="320">
        <v>1214.0999999999999</v>
      </c>
      <c r="L90" s="320">
        <v>1418.5</v>
      </c>
      <c r="M90" s="320">
        <v>1508.8</v>
      </c>
      <c r="N90" s="320">
        <v>1481.2</v>
      </c>
      <c r="O90" s="320">
        <v>1337</v>
      </c>
      <c r="P90" s="320">
        <v>1314.7</v>
      </c>
      <c r="Q90" s="320">
        <v>1349.4</v>
      </c>
      <c r="R90" s="320">
        <v>1366.1</v>
      </c>
      <c r="S90" s="320">
        <v>1355.8</v>
      </c>
      <c r="T90" s="320">
        <v>1349.3</v>
      </c>
      <c r="U90" s="320">
        <v>1352.2</v>
      </c>
    </row>
    <row r="91" spans="2:21" ht="15.6" x14ac:dyDescent="0.3">
      <c r="B91" s="301" t="s">
        <v>258</v>
      </c>
      <c r="C91" s="321" t="s">
        <v>178</v>
      </c>
      <c r="D91" s="322"/>
      <c r="E91" s="322"/>
      <c r="F91" s="322"/>
      <c r="G91" s="322"/>
      <c r="H91" s="322"/>
      <c r="I91" s="322"/>
      <c r="J91" s="322"/>
      <c r="K91" s="322">
        <v>66867000</v>
      </c>
      <c r="L91" s="322">
        <v>71686000</v>
      </c>
      <c r="M91" s="322">
        <v>74147000</v>
      </c>
      <c r="N91" s="322">
        <v>71024000</v>
      </c>
      <c r="O91" s="322">
        <v>67227000</v>
      </c>
      <c r="P91" s="322">
        <v>67005000</v>
      </c>
      <c r="Q91" s="322">
        <v>69105000</v>
      </c>
      <c r="R91" s="322">
        <v>69844000</v>
      </c>
      <c r="S91" s="322">
        <v>73026000</v>
      </c>
      <c r="T91" s="322">
        <v>74508000</v>
      </c>
      <c r="U91" s="322">
        <v>75774000</v>
      </c>
    </row>
    <row r="92" spans="2:21" ht="15.6" x14ac:dyDescent="0.3">
      <c r="B92" s="301" t="s">
        <v>259</v>
      </c>
      <c r="C92" s="321" t="s">
        <v>178</v>
      </c>
      <c r="D92" s="322"/>
      <c r="E92" s="322"/>
      <c r="F92" s="322"/>
      <c r="G92" s="322"/>
      <c r="H92" s="322"/>
      <c r="I92" s="322"/>
      <c r="J92" s="322"/>
      <c r="K92" s="323">
        <v>4152.5</v>
      </c>
      <c r="L92" s="323">
        <v>4868.6000000000004</v>
      </c>
      <c r="M92" s="323">
        <v>5456.8</v>
      </c>
      <c r="N92" s="323">
        <v>5327.8</v>
      </c>
      <c r="O92" s="323">
        <v>4724.5</v>
      </c>
      <c r="P92" s="323">
        <v>4824.3999999999996</v>
      </c>
      <c r="Q92" s="323">
        <v>5192.1000000000004</v>
      </c>
      <c r="R92" s="323">
        <v>5226.5</v>
      </c>
      <c r="S92" s="323">
        <v>5144.3999999999996</v>
      </c>
      <c r="T92" s="323">
        <v>5279.9</v>
      </c>
      <c r="U92" s="328">
        <v>5439.6</v>
      </c>
    </row>
    <row r="93" spans="2:21" ht="15.6" x14ac:dyDescent="0.3">
      <c r="B93" s="246" t="s">
        <v>258</v>
      </c>
      <c r="C93" s="319" t="s">
        <v>237</v>
      </c>
      <c r="D93" s="272"/>
      <c r="E93" s="272"/>
      <c r="F93" s="272"/>
      <c r="G93" s="272"/>
      <c r="H93" s="272"/>
      <c r="I93" s="272"/>
      <c r="J93" s="272"/>
      <c r="K93" s="289">
        <v>27657000</v>
      </c>
      <c r="L93" s="272">
        <v>29725000</v>
      </c>
      <c r="M93" s="272">
        <v>29379000</v>
      </c>
      <c r="N93" s="272">
        <v>28462000</v>
      </c>
      <c r="O93" s="272">
        <v>27425000</v>
      </c>
      <c r="P93" s="272">
        <v>27683000</v>
      </c>
      <c r="Q93" s="272">
        <v>28395000</v>
      </c>
      <c r="R93" s="272">
        <v>28777000</v>
      </c>
      <c r="S93" s="272">
        <v>29504000</v>
      </c>
      <c r="T93" s="272">
        <v>29185000</v>
      </c>
      <c r="U93" s="272">
        <v>29510000</v>
      </c>
    </row>
    <row r="94" spans="2:21" ht="15.6" x14ac:dyDescent="0.3">
      <c r="B94" s="246" t="s">
        <v>259</v>
      </c>
      <c r="C94" s="319" t="s">
        <v>237</v>
      </c>
      <c r="D94" s="272"/>
      <c r="E94" s="272"/>
      <c r="F94" s="272"/>
      <c r="G94" s="272"/>
      <c r="H94" s="272"/>
      <c r="I94" s="272"/>
      <c r="J94" s="272"/>
      <c r="K94" s="327">
        <v>1687.8</v>
      </c>
      <c r="L94" s="320">
        <v>1943.7</v>
      </c>
      <c r="M94" s="320">
        <v>2082.9</v>
      </c>
      <c r="N94" s="320">
        <v>2054.6</v>
      </c>
      <c r="O94" s="320">
        <v>1811.2</v>
      </c>
      <c r="P94" s="320">
        <v>1823</v>
      </c>
      <c r="Q94" s="320">
        <v>1911.4</v>
      </c>
      <c r="R94" s="320">
        <v>1941.2</v>
      </c>
      <c r="S94" s="320">
        <v>1970.3</v>
      </c>
      <c r="T94" s="320">
        <v>1910.8</v>
      </c>
      <c r="U94" s="320">
        <v>1914.3</v>
      </c>
    </row>
    <row r="95" spans="2:21" ht="15.6" x14ac:dyDescent="0.3">
      <c r="B95" s="301" t="s">
        <v>258</v>
      </c>
      <c r="C95" s="321" t="s">
        <v>238</v>
      </c>
      <c r="D95" s="322"/>
      <c r="E95" s="322"/>
      <c r="F95" s="322"/>
      <c r="G95" s="322"/>
      <c r="H95" s="322"/>
      <c r="I95" s="322"/>
      <c r="J95" s="322"/>
      <c r="K95" s="322">
        <v>9938000</v>
      </c>
      <c r="L95" s="322">
        <v>10448000</v>
      </c>
      <c r="M95" s="322">
        <v>10353000</v>
      </c>
      <c r="N95" s="322">
        <v>10064000</v>
      </c>
      <c r="O95" s="322">
        <v>9561000</v>
      </c>
      <c r="P95" s="322">
        <v>10001000</v>
      </c>
      <c r="Q95" s="322">
        <v>10293000</v>
      </c>
      <c r="R95" s="322">
        <v>11389000</v>
      </c>
      <c r="S95" s="322">
        <v>10733000</v>
      </c>
      <c r="T95" s="322">
        <v>10337000</v>
      </c>
      <c r="U95" s="322">
        <v>10144000</v>
      </c>
    </row>
    <row r="96" spans="2:21" ht="15.6" x14ac:dyDescent="0.3">
      <c r="B96" s="301" t="s">
        <v>259</v>
      </c>
      <c r="C96" s="321" t="s">
        <v>238</v>
      </c>
      <c r="D96" s="322"/>
      <c r="E96" s="322"/>
      <c r="F96" s="322"/>
      <c r="G96" s="322"/>
      <c r="H96" s="322"/>
      <c r="I96" s="322"/>
      <c r="J96" s="322"/>
      <c r="K96" s="322">
        <v>496.6</v>
      </c>
      <c r="L96" s="322">
        <v>565.9</v>
      </c>
      <c r="M96" s="322">
        <v>592.29999999999995</v>
      </c>
      <c r="N96" s="322">
        <v>590.4</v>
      </c>
      <c r="O96" s="322">
        <v>530</v>
      </c>
      <c r="P96" s="322">
        <v>548.70000000000005</v>
      </c>
      <c r="Q96" s="322">
        <v>577.20000000000005</v>
      </c>
      <c r="R96" s="328">
        <v>648.29999999999995</v>
      </c>
      <c r="S96" s="328">
        <v>614.6</v>
      </c>
      <c r="T96" s="328">
        <v>595.4</v>
      </c>
      <c r="U96" s="328">
        <v>578.70000000000005</v>
      </c>
    </row>
    <row r="97" spans="2:21" ht="15.6" x14ac:dyDescent="0.3">
      <c r="B97" s="246" t="s">
        <v>258</v>
      </c>
      <c r="C97" s="319" t="s">
        <v>239</v>
      </c>
      <c r="D97" s="272"/>
      <c r="E97" s="272"/>
      <c r="F97" s="272"/>
      <c r="G97" s="272"/>
      <c r="H97" s="272"/>
      <c r="I97" s="272"/>
      <c r="J97" s="272"/>
      <c r="K97" s="272">
        <v>7583000</v>
      </c>
      <c r="L97" s="272">
        <v>7835000</v>
      </c>
      <c r="M97" s="272">
        <v>7660000</v>
      </c>
      <c r="N97" s="272">
        <v>7108000</v>
      </c>
      <c r="O97" s="272">
        <v>7031000</v>
      </c>
      <c r="P97" s="272">
        <v>7024000</v>
      </c>
      <c r="Q97" s="272">
        <v>6723000</v>
      </c>
      <c r="R97" s="272">
        <v>6620</v>
      </c>
      <c r="S97" s="272">
        <v>6637000</v>
      </c>
      <c r="T97" s="272">
        <v>6537000</v>
      </c>
      <c r="U97" s="272">
        <v>6716000</v>
      </c>
    </row>
    <row r="98" spans="2:21" ht="15.6" x14ac:dyDescent="0.3">
      <c r="B98" s="246" t="s">
        <v>259</v>
      </c>
      <c r="C98" s="319" t="s">
        <v>239</v>
      </c>
      <c r="D98" s="272"/>
      <c r="E98" s="272"/>
      <c r="F98" s="272"/>
      <c r="G98" s="272"/>
      <c r="H98" s="272"/>
      <c r="I98" s="272"/>
      <c r="J98" s="272"/>
      <c r="K98" s="320">
        <v>503.8</v>
      </c>
      <c r="L98" s="320">
        <v>565.1</v>
      </c>
      <c r="M98" s="320">
        <v>605.1</v>
      </c>
      <c r="N98" s="320">
        <v>599.20000000000005</v>
      </c>
      <c r="O98" s="320">
        <v>558.5</v>
      </c>
      <c r="P98" s="320">
        <v>554.29999999999995</v>
      </c>
      <c r="Q98" s="320">
        <v>551.1</v>
      </c>
      <c r="R98" s="320">
        <v>549.79999999999995</v>
      </c>
      <c r="S98" s="320">
        <v>532.9</v>
      </c>
      <c r="T98" s="320">
        <v>519.29999999999995</v>
      </c>
      <c r="U98" s="540">
        <v>522</v>
      </c>
    </row>
    <row r="99" spans="2:21" ht="15.6" x14ac:dyDescent="0.3">
      <c r="B99" s="301" t="s">
        <v>258</v>
      </c>
      <c r="C99" s="321" t="s">
        <v>240</v>
      </c>
      <c r="D99" s="322"/>
      <c r="E99" s="322"/>
      <c r="F99" s="322"/>
      <c r="G99" s="322"/>
      <c r="H99" s="322"/>
      <c r="I99" s="322"/>
      <c r="J99" s="322"/>
      <c r="K99" s="322">
        <v>461377000</v>
      </c>
      <c r="L99" s="322">
        <v>492716000</v>
      </c>
      <c r="M99" s="322">
        <v>498449000</v>
      </c>
      <c r="N99" s="322">
        <v>475508000</v>
      </c>
      <c r="O99" s="322">
        <v>455552000</v>
      </c>
      <c r="P99" s="322">
        <v>445091000</v>
      </c>
      <c r="Q99" s="322">
        <v>440491000</v>
      </c>
      <c r="R99" s="322">
        <v>434925000</v>
      </c>
      <c r="S99" s="322">
        <v>448585000</v>
      </c>
      <c r="T99" s="322">
        <v>444521000</v>
      </c>
      <c r="U99" s="322">
        <v>452310000</v>
      </c>
    </row>
    <row r="100" spans="2:21" ht="15.6" x14ac:dyDescent="0.3">
      <c r="B100" s="301" t="s">
        <v>259</v>
      </c>
      <c r="C100" s="321" t="s">
        <v>240</v>
      </c>
      <c r="D100" s="322"/>
      <c r="E100" s="322"/>
      <c r="F100" s="322"/>
      <c r="G100" s="322"/>
      <c r="H100" s="322"/>
      <c r="I100" s="322"/>
      <c r="J100" s="322"/>
      <c r="K100" s="322">
        <v>37008.6</v>
      </c>
      <c r="L100" s="322">
        <v>41816</v>
      </c>
      <c r="M100" s="322">
        <v>46889.1</v>
      </c>
      <c r="N100" s="322">
        <v>47370.8</v>
      </c>
      <c r="O100" s="322">
        <v>43196</v>
      </c>
      <c r="P100" s="322">
        <v>42767.5</v>
      </c>
      <c r="Q100" s="322">
        <v>43048.9</v>
      </c>
      <c r="R100" s="322">
        <v>43367.8</v>
      </c>
      <c r="S100" s="322">
        <v>44101</v>
      </c>
      <c r="T100" s="322">
        <v>43666.1</v>
      </c>
      <c r="U100" s="328">
        <v>43868.7</v>
      </c>
    </row>
    <row r="101" spans="2:21" ht="15.6" x14ac:dyDescent="0.3">
      <c r="B101" s="246" t="s">
        <v>258</v>
      </c>
      <c r="C101" s="319" t="s">
        <v>241</v>
      </c>
      <c r="D101" s="272"/>
      <c r="E101" s="272"/>
      <c r="F101" s="272"/>
      <c r="G101" s="272"/>
      <c r="H101" s="272"/>
      <c r="I101" s="272"/>
      <c r="J101" s="272"/>
      <c r="K101" s="272">
        <v>3295000</v>
      </c>
      <c r="L101" s="272">
        <v>3515000</v>
      </c>
      <c r="M101" s="272">
        <v>3336000</v>
      </c>
      <c r="N101" s="272">
        <v>3205000</v>
      </c>
      <c r="O101" s="272">
        <v>3326000</v>
      </c>
      <c r="P101" s="272">
        <v>3177000</v>
      </c>
      <c r="Q101" s="272">
        <v>3356000</v>
      </c>
      <c r="R101" s="272">
        <v>3375000</v>
      </c>
      <c r="S101" s="272">
        <v>3418000</v>
      </c>
      <c r="T101" s="272">
        <v>3510000</v>
      </c>
      <c r="U101" s="272">
        <v>3595000</v>
      </c>
    </row>
    <row r="102" spans="2:21" ht="15.6" x14ac:dyDescent="0.3">
      <c r="B102" s="246" t="s">
        <v>259</v>
      </c>
      <c r="C102" s="319" t="s">
        <v>241</v>
      </c>
      <c r="D102" s="272"/>
      <c r="E102" s="272"/>
      <c r="F102" s="272"/>
      <c r="G102" s="272"/>
      <c r="H102" s="272"/>
      <c r="I102" s="272"/>
      <c r="J102" s="272"/>
      <c r="K102" s="320">
        <v>209.5</v>
      </c>
      <c r="L102" s="320">
        <v>230.9</v>
      </c>
      <c r="M102" s="320">
        <v>236.6</v>
      </c>
      <c r="N102" s="320">
        <v>246.7</v>
      </c>
      <c r="O102" s="320">
        <v>228.5</v>
      </c>
      <c r="P102" s="320">
        <v>217.8</v>
      </c>
      <c r="Q102" s="320">
        <v>217.8</v>
      </c>
      <c r="R102" s="320">
        <v>228.9</v>
      </c>
      <c r="S102" s="320">
        <v>228</v>
      </c>
      <c r="T102" s="320">
        <v>221.4</v>
      </c>
      <c r="U102" s="320">
        <v>220.7</v>
      </c>
    </row>
    <row r="103" spans="2:21" ht="15.6" x14ac:dyDescent="0.3">
      <c r="B103" s="301" t="s">
        <v>258</v>
      </c>
      <c r="C103" s="321" t="s">
        <v>183</v>
      </c>
      <c r="D103" s="322"/>
      <c r="E103" s="322"/>
      <c r="F103" s="322"/>
      <c r="G103" s="322"/>
      <c r="H103" s="322"/>
      <c r="I103" s="322"/>
      <c r="J103" s="322"/>
      <c r="K103" s="322">
        <v>32136000</v>
      </c>
      <c r="L103" s="322">
        <v>34274000</v>
      </c>
      <c r="M103" s="322">
        <v>35586000</v>
      </c>
      <c r="N103" s="322">
        <v>34453000</v>
      </c>
      <c r="O103" s="322">
        <v>33365000</v>
      </c>
      <c r="P103" s="322">
        <v>32918000</v>
      </c>
      <c r="Q103" s="322">
        <v>33033000</v>
      </c>
      <c r="R103" s="322">
        <v>33487000</v>
      </c>
      <c r="S103" s="322">
        <v>35765000</v>
      </c>
      <c r="T103" s="322">
        <v>35632000</v>
      </c>
      <c r="U103" s="322">
        <v>36866000</v>
      </c>
    </row>
    <row r="104" spans="2:21" ht="15.6" x14ac:dyDescent="0.3">
      <c r="B104" s="301" t="s">
        <v>259</v>
      </c>
      <c r="C104" s="321" t="s">
        <v>183</v>
      </c>
      <c r="D104" s="322"/>
      <c r="E104" s="322"/>
      <c r="F104" s="322"/>
      <c r="G104" s="322"/>
      <c r="H104" s="322"/>
      <c r="I104" s="322"/>
      <c r="J104" s="322"/>
      <c r="K104" s="322">
        <v>2441.1999999999998</v>
      </c>
      <c r="L104" s="322">
        <v>2823.4</v>
      </c>
      <c r="M104" s="322">
        <v>3309.8</v>
      </c>
      <c r="N104" s="322">
        <v>3574.2</v>
      </c>
      <c r="O104" s="322">
        <v>3319.5</v>
      </c>
      <c r="P104" s="322">
        <v>3287.6</v>
      </c>
      <c r="Q104" s="322">
        <v>3315.6</v>
      </c>
      <c r="R104" s="322">
        <v>3386</v>
      </c>
      <c r="S104" s="322">
        <v>3508.7</v>
      </c>
      <c r="T104" s="322">
        <v>3505</v>
      </c>
      <c r="U104" s="328">
        <v>3595.8</v>
      </c>
    </row>
    <row r="105" spans="2:21" ht="15.6" x14ac:dyDescent="0.3">
      <c r="B105" s="246" t="s">
        <v>258</v>
      </c>
      <c r="C105" s="319" t="s">
        <v>184</v>
      </c>
      <c r="D105" s="272"/>
      <c r="E105" s="272"/>
      <c r="F105" s="272"/>
      <c r="G105" s="272"/>
      <c r="H105" s="272"/>
      <c r="I105" s="272"/>
      <c r="J105" s="272"/>
      <c r="K105" s="272">
        <v>25565000</v>
      </c>
      <c r="L105" s="272">
        <v>27356000</v>
      </c>
      <c r="M105" s="272">
        <v>27778000</v>
      </c>
      <c r="N105" s="272">
        <v>26569000</v>
      </c>
      <c r="O105" s="272">
        <v>25861000</v>
      </c>
      <c r="P105" s="272">
        <v>25586000</v>
      </c>
      <c r="Q105" s="272">
        <v>26100000</v>
      </c>
      <c r="R105" s="272">
        <v>26609000</v>
      </c>
      <c r="S105" s="272">
        <v>26524000</v>
      </c>
      <c r="T105" s="272">
        <v>24301000</v>
      </c>
      <c r="U105" s="272">
        <v>25725000</v>
      </c>
    </row>
    <row r="106" spans="2:21" ht="15.6" x14ac:dyDescent="0.3">
      <c r="B106" s="246" t="s">
        <v>259</v>
      </c>
      <c r="C106" s="319" t="s">
        <v>184</v>
      </c>
      <c r="D106" s="272"/>
      <c r="E106" s="272"/>
      <c r="F106" s="272"/>
      <c r="G106" s="272"/>
      <c r="H106" s="272"/>
      <c r="I106" s="272"/>
      <c r="J106" s="272"/>
      <c r="K106" s="320">
        <v>1768.1</v>
      </c>
      <c r="L106" s="320">
        <v>2034.9</v>
      </c>
      <c r="M106" s="272">
        <v>2195</v>
      </c>
      <c r="N106" s="320">
        <v>2204.1999999999998</v>
      </c>
      <c r="O106" s="320">
        <v>2023.8</v>
      </c>
      <c r="P106" s="272">
        <v>2013.8</v>
      </c>
      <c r="Q106" s="320">
        <v>2093.6</v>
      </c>
      <c r="R106" s="320">
        <v>2151.8000000000002</v>
      </c>
      <c r="S106" s="320">
        <v>2180.9</v>
      </c>
      <c r="T106" s="320">
        <v>2110.4</v>
      </c>
      <c r="U106" s="540">
        <v>2183.4</v>
      </c>
    </row>
    <row r="107" spans="2:21" ht="15.6" x14ac:dyDescent="0.3">
      <c r="B107" s="301" t="s">
        <v>258</v>
      </c>
      <c r="C107" s="321" t="s">
        <v>185</v>
      </c>
      <c r="D107" s="322"/>
      <c r="E107" s="322"/>
      <c r="F107" s="322"/>
      <c r="G107" s="322"/>
      <c r="H107" s="322"/>
      <c r="I107" s="322"/>
      <c r="J107" s="322"/>
      <c r="K107" s="322">
        <v>1712000</v>
      </c>
      <c r="L107" s="322">
        <v>1759000</v>
      </c>
      <c r="M107" s="322">
        <v>1822000</v>
      </c>
      <c r="N107" s="322">
        <v>2242000</v>
      </c>
      <c r="O107" s="322">
        <v>2710000</v>
      </c>
      <c r="P107" s="322">
        <v>3127000</v>
      </c>
      <c r="Q107" s="322">
        <v>2197000</v>
      </c>
      <c r="R107" s="322">
        <v>1762000</v>
      </c>
      <c r="S107" s="322">
        <v>1800000</v>
      </c>
      <c r="T107" s="322">
        <v>1553000</v>
      </c>
      <c r="U107" s="322">
        <v>1382000</v>
      </c>
    </row>
    <row r="108" spans="2:21" ht="15.6" x14ac:dyDescent="0.3">
      <c r="B108" s="301" t="s">
        <v>259</v>
      </c>
      <c r="C108" s="321" t="s">
        <v>185</v>
      </c>
      <c r="D108" s="322"/>
      <c r="E108" s="322"/>
      <c r="F108" s="322"/>
      <c r="G108" s="322"/>
      <c r="H108" s="322"/>
      <c r="I108" s="322"/>
      <c r="J108" s="322"/>
      <c r="K108" s="322">
        <v>86</v>
      </c>
      <c r="L108" s="322">
        <v>101.5</v>
      </c>
      <c r="M108" s="322">
        <v>111.5</v>
      </c>
      <c r="N108" s="323">
        <v>125.3</v>
      </c>
      <c r="O108" s="323">
        <v>115.7</v>
      </c>
      <c r="P108" s="322">
        <v>125.1</v>
      </c>
      <c r="Q108" s="323">
        <v>98.9</v>
      </c>
      <c r="R108" s="323">
        <v>91.7</v>
      </c>
      <c r="S108" s="323">
        <v>90.2</v>
      </c>
      <c r="T108" s="323">
        <v>76.7</v>
      </c>
      <c r="U108" s="323">
        <v>68.099999999999994</v>
      </c>
    </row>
    <row r="109" spans="2:21" ht="15.6" x14ac:dyDescent="0.3">
      <c r="B109" s="246" t="s">
        <v>258</v>
      </c>
      <c r="C109" s="319" t="s">
        <v>242</v>
      </c>
      <c r="D109" s="272"/>
      <c r="E109" s="272"/>
      <c r="F109" s="272"/>
      <c r="G109" s="272"/>
      <c r="H109" s="272"/>
      <c r="I109" s="272"/>
      <c r="J109" s="272"/>
      <c r="K109" s="272">
        <v>21242000</v>
      </c>
      <c r="L109" s="272">
        <v>22945000</v>
      </c>
      <c r="M109" s="272">
        <v>22915000</v>
      </c>
      <c r="N109" s="272">
        <v>21702000</v>
      </c>
      <c r="O109" s="272">
        <v>21335000</v>
      </c>
      <c r="P109" s="272">
        <v>20965000</v>
      </c>
      <c r="Q109" s="272">
        <v>21271000</v>
      </c>
      <c r="R109" s="272">
        <v>21504000</v>
      </c>
      <c r="S109" s="272">
        <v>22852000</v>
      </c>
      <c r="T109" s="272">
        <v>24079000</v>
      </c>
      <c r="U109" s="272">
        <v>25422000</v>
      </c>
    </row>
    <row r="110" spans="2:21" ht="15.6" x14ac:dyDescent="0.3">
      <c r="B110" s="246" t="s">
        <v>259</v>
      </c>
      <c r="C110" s="319" t="s">
        <v>242</v>
      </c>
      <c r="D110" s="272"/>
      <c r="E110" s="272"/>
      <c r="F110" s="272"/>
      <c r="G110" s="272"/>
      <c r="H110" s="272"/>
      <c r="I110" s="272"/>
      <c r="J110" s="272"/>
      <c r="K110" s="320">
        <v>1749.1</v>
      </c>
      <c r="L110" s="320">
        <v>1965.4</v>
      </c>
      <c r="M110" s="272">
        <v>2139.1</v>
      </c>
      <c r="N110" s="320">
        <v>2229.5</v>
      </c>
      <c r="O110" s="320">
        <v>2098.3000000000002</v>
      </c>
      <c r="P110" s="272">
        <v>2098.1999999999998</v>
      </c>
      <c r="Q110" s="320">
        <v>2150.5</v>
      </c>
      <c r="R110" s="320">
        <v>2208</v>
      </c>
      <c r="S110" s="320">
        <v>2345.9</v>
      </c>
      <c r="T110" s="320">
        <v>2474.8000000000002</v>
      </c>
      <c r="U110" s="320">
        <v>2548.6</v>
      </c>
    </row>
    <row r="111" spans="2:21" ht="15.6" x14ac:dyDescent="0.3">
      <c r="B111" s="301" t="s">
        <v>258</v>
      </c>
      <c r="C111" s="321" t="s">
        <v>187</v>
      </c>
      <c r="D111" s="322"/>
      <c r="E111" s="322"/>
      <c r="F111" s="322"/>
      <c r="G111" s="322"/>
      <c r="H111" s="322"/>
      <c r="I111" s="322"/>
      <c r="J111" s="322"/>
      <c r="K111" s="322">
        <v>15750000</v>
      </c>
      <c r="L111" s="322">
        <v>16733000</v>
      </c>
      <c r="M111" s="322">
        <v>17052000</v>
      </c>
      <c r="N111" s="322">
        <v>16822000</v>
      </c>
      <c r="O111" s="322">
        <v>16505000</v>
      </c>
      <c r="P111" s="322">
        <v>16886000</v>
      </c>
      <c r="Q111" s="322">
        <v>17300000</v>
      </c>
      <c r="R111" s="322">
        <v>17412000</v>
      </c>
      <c r="S111" s="322">
        <v>17576000</v>
      </c>
      <c r="T111" s="322">
        <v>17084000</v>
      </c>
      <c r="U111" s="322">
        <v>17643000</v>
      </c>
    </row>
    <row r="112" spans="2:21" ht="15.6" x14ac:dyDescent="0.3">
      <c r="B112" s="301" t="s">
        <v>259</v>
      </c>
      <c r="C112" s="321" t="s">
        <v>187</v>
      </c>
      <c r="D112" s="322"/>
      <c r="E112" s="322"/>
      <c r="F112" s="322"/>
      <c r="G112" s="322"/>
      <c r="H112" s="322"/>
      <c r="I112" s="322"/>
      <c r="J112" s="322"/>
      <c r="K112" s="322">
        <v>910.5</v>
      </c>
      <c r="L112" s="322">
        <v>1030.7</v>
      </c>
      <c r="M112" s="322">
        <v>1116.9000000000001</v>
      </c>
      <c r="N112" s="323">
        <v>1119.0999999999999</v>
      </c>
      <c r="O112" s="323">
        <v>1025.3</v>
      </c>
      <c r="P112" s="322">
        <v>1036.3</v>
      </c>
      <c r="Q112" s="323">
        <v>1060.7</v>
      </c>
      <c r="R112" s="323">
        <v>1088</v>
      </c>
      <c r="S112" s="323">
        <v>1102.5</v>
      </c>
      <c r="T112" s="323">
        <v>1008.8</v>
      </c>
      <c r="U112" s="323">
        <v>1044.8</v>
      </c>
    </row>
    <row r="113" spans="1:21" ht="15.6" x14ac:dyDescent="0.3">
      <c r="B113" s="246" t="s">
        <v>258</v>
      </c>
      <c r="C113" s="319" t="s">
        <v>188</v>
      </c>
      <c r="D113" s="272"/>
      <c r="E113" s="272"/>
      <c r="F113" s="272"/>
      <c r="G113" s="272"/>
      <c r="H113" s="272"/>
      <c r="I113" s="272"/>
      <c r="J113" s="272"/>
      <c r="K113" s="272">
        <v>4558000</v>
      </c>
      <c r="L113" s="272">
        <v>4902000</v>
      </c>
      <c r="M113" s="272">
        <v>4907000</v>
      </c>
      <c r="N113" s="272">
        <v>4701000</v>
      </c>
      <c r="O113" s="272">
        <v>4497000</v>
      </c>
      <c r="P113" s="272">
        <v>4317000</v>
      </c>
      <c r="Q113" s="272">
        <v>4440000</v>
      </c>
      <c r="R113" s="272">
        <v>4331000</v>
      </c>
      <c r="S113" s="272">
        <v>4514000</v>
      </c>
      <c r="T113" s="272">
        <v>4566000</v>
      </c>
      <c r="U113" s="272">
        <v>4630000</v>
      </c>
    </row>
    <row r="114" spans="1:21" ht="15.6" x14ac:dyDescent="0.3">
      <c r="B114" s="246" t="s">
        <v>259</v>
      </c>
      <c r="C114" s="319" t="s">
        <v>188</v>
      </c>
      <c r="D114" s="272"/>
      <c r="E114" s="272"/>
      <c r="F114" s="272"/>
      <c r="G114" s="272"/>
      <c r="H114" s="272"/>
      <c r="I114" s="272"/>
      <c r="J114" s="272"/>
      <c r="K114" s="320">
        <v>324.7</v>
      </c>
      <c r="L114" s="320">
        <v>376.9</v>
      </c>
      <c r="M114" s="272">
        <v>418.6</v>
      </c>
      <c r="N114" s="320">
        <v>422.8</v>
      </c>
      <c r="O114" s="320">
        <v>397</v>
      </c>
      <c r="P114" s="272">
        <v>387.2</v>
      </c>
      <c r="Q114" s="320">
        <v>400.1</v>
      </c>
      <c r="R114" s="320">
        <v>409.3</v>
      </c>
      <c r="S114" s="320">
        <v>414.5</v>
      </c>
      <c r="T114" s="320">
        <v>416</v>
      </c>
      <c r="U114" s="540">
        <v>430.5</v>
      </c>
    </row>
    <row r="115" spans="1:21" ht="15.6" x14ac:dyDescent="0.3">
      <c r="B115" s="301" t="s">
        <v>258</v>
      </c>
      <c r="C115" s="321" t="s">
        <v>243</v>
      </c>
      <c r="D115" s="322"/>
      <c r="E115" s="322"/>
      <c r="F115" s="322"/>
      <c r="G115" s="322"/>
      <c r="H115" s="322"/>
      <c r="I115" s="322"/>
      <c r="J115" s="322"/>
      <c r="K115" s="322">
        <v>5857000</v>
      </c>
      <c r="L115" s="322">
        <v>6212000</v>
      </c>
      <c r="M115" s="322">
        <v>6117000</v>
      </c>
      <c r="N115" s="322">
        <v>3067000</v>
      </c>
      <c r="O115" s="322">
        <v>5750000</v>
      </c>
      <c r="P115" s="322">
        <v>5718000</v>
      </c>
      <c r="Q115" s="322">
        <v>5808000</v>
      </c>
      <c r="R115" s="322">
        <v>5833000</v>
      </c>
      <c r="S115" s="322">
        <v>5803000</v>
      </c>
      <c r="T115" s="322">
        <v>5877000</v>
      </c>
      <c r="U115" s="322">
        <v>5843000</v>
      </c>
    </row>
    <row r="116" spans="1:21" ht="15.6" x14ac:dyDescent="0.3">
      <c r="B116" s="301" t="s">
        <v>259</v>
      </c>
      <c r="C116" s="321" t="s">
        <v>243</v>
      </c>
      <c r="D116" s="322"/>
      <c r="E116" s="322"/>
      <c r="F116" s="322"/>
      <c r="G116" s="322"/>
      <c r="H116" s="322"/>
      <c r="I116" s="322"/>
      <c r="J116" s="322"/>
      <c r="K116" s="322">
        <v>322.89999999999998</v>
      </c>
      <c r="L116" s="322">
        <v>372.4</v>
      </c>
      <c r="M116" s="322">
        <v>389.5</v>
      </c>
      <c r="N116" s="323">
        <v>389.8</v>
      </c>
      <c r="O116" s="323">
        <v>350.5</v>
      </c>
      <c r="P116" s="322">
        <v>362.2</v>
      </c>
      <c r="Q116" s="323">
        <v>383.7</v>
      </c>
      <c r="R116" s="323">
        <v>374.5</v>
      </c>
      <c r="S116" s="323">
        <v>373.9</v>
      </c>
      <c r="T116" s="323">
        <v>377</v>
      </c>
      <c r="U116" s="323">
        <v>371.3</v>
      </c>
    </row>
    <row r="117" spans="1:21" ht="15.6" x14ac:dyDescent="0.3">
      <c r="B117" s="246" t="s">
        <v>258</v>
      </c>
      <c r="C117" s="319" t="s">
        <v>244</v>
      </c>
      <c r="D117" s="272"/>
      <c r="E117" s="272"/>
      <c r="F117" s="272"/>
      <c r="G117" s="272"/>
      <c r="H117" s="272"/>
      <c r="I117" s="272"/>
      <c r="J117" s="272"/>
      <c r="K117" s="272">
        <v>10906000</v>
      </c>
      <c r="L117" s="272">
        <v>12777000</v>
      </c>
      <c r="M117" s="272">
        <v>12627000</v>
      </c>
      <c r="N117" s="272">
        <v>12154000</v>
      </c>
      <c r="O117" s="272">
        <v>11305000</v>
      </c>
      <c r="P117" s="272">
        <v>12008000</v>
      </c>
      <c r="Q117" s="272">
        <v>12379000</v>
      </c>
      <c r="R117" s="272">
        <v>12688000</v>
      </c>
      <c r="S117" s="272">
        <v>13255000</v>
      </c>
      <c r="T117" s="272">
        <v>13436000</v>
      </c>
      <c r="U117" s="272">
        <v>12913000</v>
      </c>
    </row>
    <row r="118" spans="1:21" ht="15.6" x14ac:dyDescent="0.3">
      <c r="B118" s="246" t="s">
        <v>259</v>
      </c>
      <c r="C118" s="319" t="s">
        <v>244</v>
      </c>
      <c r="D118" s="272"/>
      <c r="E118" s="272"/>
      <c r="F118" s="272"/>
      <c r="G118" s="272"/>
      <c r="H118" s="272"/>
      <c r="I118" s="272"/>
      <c r="J118" s="272"/>
      <c r="K118" s="320">
        <v>1156.4000000000001</v>
      </c>
      <c r="L118" s="320">
        <v>1389.5</v>
      </c>
      <c r="M118" s="272">
        <v>1546.4</v>
      </c>
      <c r="N118" s="320">
        <v>1642</v>
      </c>
      <c r="O118" s="320">
        <v>1475.8</v>
      </c>
      <c r="P118" s="272">
        <v>1655.5</v>
      </c>
      <c r="Q118" s="320">
        <v>1693.5</v>
      </c>
      <c r="R118" s="320">
        <v>1712.7</v>
      </c>
      <c r="S118" s="320">
        <v>1799.7</v>
      </c>
      <c r="T118" s="320">
        <v>1859</v>
      </c>
      <c r="U118" s="540">
        <v>1758.7</v>
      </c>
    </row>
    <row r="119" spans="1:21" ht="15.6" x14ac:dyDescent="0.3">
      <c r="B119" s="301" t="s">
        <v>258</v>
      </c>
      <c r="C119" s="321" t="s">
        <v>191</v>
      </c>
      <c r="D119" s="322"/>
      <c r="E119" s="322"/>
      <c r="F119" s="322"/>
      <c r="G119" s="322"/>
      <c r="H119" s="322"/>
      <c r="I119" s="322"/>
      <c r="J119" s="322"/>
      <c r="K119" s="322">
        <v>6272000</v>
      </c>
      <c r="L119" s="322">
        <v>7244000</v>
      </c>
      <c r="M119" s="322">
        <v>7143000</v>
      </c>
      <c r="N119" s="322">
        <v>6752000</v>
      </c>
      <c r="O119" s="322">
        <v>6482000</v>
      </c>
      <c r="P119" s="322">
        <v>6315000</v>
      </c>
      <c r="Q119" s="322">
        <v>6248000</v>
      </c>
      <c r="R119" s="322">
        <v>6283000</v>
      </c>
      <c r="S119" s="322">
        <v>6716000</v>
      </c>
      <c r="T119" s="322">
        <v>6936000</v>
      </c>
      <c r="U119" s="322">
        <v>7180000</v>
      </c>
    </row>
    <row r="120" spans="1:21" ht="15.6" x14ac:dyDescent="0.3">
      <c r="B120" s="301" t="s">
        <v>259</v>
      </c>
      <c r="C120" s="321" t="s">
        <v>191</v>
      </c>
      <c r="D120" s="322"/>
      <c r="E120" s="322"/>
      <c r="F120" s="322"/>
      <c r="G120" s="322"/>
      <c r="H120" s="322"/>
      <c r="I120" s="322"/>
      <c r="J120" s="322"/>
      <c r="K120" s="323">
        <v>644.6</v>
      </c>
      <c r="L120" s="323">
        <v>753</v>
      </c>
      <c r="M120" s="322">
        <v>835.9</v>
      </c>
      <c r="N120" s="323">
        <v>858.1</v>
      </c>
      <c r="O120" s="323">
        <v>800.1</v>
      </c>
      <c r="P120" s="322">
        <v>796</v>
      </c>
      <c r="Q120" s="323">
        <v>806</v>
      </c>
      <c r="R120" s="323">
        <v>816.5</v>
      </c>
      <c r="S120" s="323">
        <v>865.1</v>
      </c>
      <c r="T120" s="323">
        <v>896.8</v>
      </c>
      <c r="U120" s="323">
        <v>918.7</v>
      </c>
    </row>
    <row r="121" spans="1:21" ht="15.6" x14ac:dyDescent="0.3">
      <c r="B121" s="246" t="s">
        <v>258</v>
      </c>
      <c r="C121" s="326" t="s">
        <v>245</v>
      </c>
      <c r="D121" s="272"/>
      <c r="E121" s="272"/>
      <c r="F121" s="272"/>
      <c r="G121" s="272"/>
      <c r="H121" s="272"/>
      <c r="I121" s="272"/>
      <c r="J121" s="272"/>
      <c r="K121" s="272">
        <v>37823000</v>
      </c>
      <c r="L121" s="272">
        <v>40859000</v>
      </c>
      <c r="M121" s="272">
        <v>40556000</v>
      </c>
      <c r="N121" s="272">
        <v>38434000</v>
      </c>
      <c r="O121" s="272">
        <v>36995000</v>
      </c>
      <c r="P121" s="272">
        <v>36619000</v>
      </c>
      <c r="Q121" s="272">
        <v>36689000</v>
      </c>
      <c r="R121" s="272">
        <v>35667000</v>
      </c>
      <c r="S121" s="272">
        <v>36607000</v>
      </c>
      <c r="T121" s="272">
        <v>37289000</v>
      </c>
      <c r="U121" s="272">
        <v>39287000</v>
      </c>
    </row>
    <row r="122" spans="1:21" ht="15.6" x14ac:dyDescent="0.3">
      <c r="B122" s="246" t="s">
        <v>259</v>
      </c>
      <c r="C122" s="326" t="s">
        <v>245</v>
      </c>
      <c r="D122" s="272"/>
      <c r="E122" s="272"/>
      <c r="F122" s="272"/>
      <c r="G122" s="272"/>
      <c r="H122" s="272"/>
      <c r="I122" s="272"/>
      <c r="J122" s="272"/>
      <c r="K122" s="320">
        <v>2645.7</v>
      </c>
      <c r="L122" s="320">
        <v>3097.5</v>
      </c>
      <c r="M122" s="272">
        <v>3311.3</v>
      </c>
      <c r="N122" s="320">
        <v>3225.9</v>
      </c>
      <c r="O122" s="320">
        <v>2842.8</v>
      </c>
      <c r="P122" s="272">
        <v>2805.4</v>
      </c>
      <c r="Q122" s="320">
        <v>2880.9</v>
      </c>
      <c r="R122" s="320">
        <v>2839.2</v>
      </c>
      <c r="S122" s="320">
        <v>2858.2</v>
      </c>
      <c r="T122" s="320">
        <v>2906.8</v>
      </c>
      <c r="U122" s="320">
        <v>3021.7</v>
      </c>
    </row>
    <row r="123" spans="1:21" ht="15.6" x14ac:dyDescent="0.3">
      <c r="B123" s="246"/>
      <c r="C123" s="257"/>
      <c r="D123" s="272"/>
      <c r="E123" s="272"/>
      <c r="F123" s="272"/>
      <c r="G123" s="272"/>
      <c r="H123" s="272"/>
      <c r="I123" s="272"/>
      <c r="J123" s="272"/>
      <c r="K123" s="272"/>
      <c r="L123" s="272"/>
      <c r="M123" s="272"/>
      <c r="N123" s="272"/>
      <c r="O123" s="272"/>
      <c r="P123" s="272"/>
      <c r="Q123" s="272"/>
      <c r="R123" s="272"/>
    </row>
    <row r="124" spans="1:21" s="5" customFormat="1" ht="23.4" hidden="1" x14ac:dyDescent="0.45">
      <c r="A124" s="6"/>
      <c r="B124" s="58" t="s">
        <v>0</v>
      </c>
      <c r="C124" s="329"/>
      <c r="D124" s="330"/>
      <c r="E124" s="330"/>
      <c r="F124" s="330"/>
      <c r="G124" s="330"/>
      <c r="H124" s="330"/>
      <c r="I124" s="330"/>
      <c r="J124" s="330"/>
      <c r="K124" s="330"/>
      <c r="L124" s="330"/>
      <c r="M124" s="330"/>
      <c r="N124" s="330"/>
      <c r="O124" s="330"/>
      <c r="P124" s="330"/>
      <c r="Q124" s="330"/>
      <c r="R124" s="330"/>
      <c r="S124" s="330"/>
      <c r="T124" s="330"/>
      <c r="U124" s="429"/>
    </row>
    <row r="125" spans="1:21" s="5" customFormat="1" ht="15.6" hidden="1" x14ac:dyDescent="0.3">
      <c r="A125" s="6"/>
      <c r="B125" s="296"/>
      <c r="C125" s="296"/>
      <c r="D125" s="244">
        <v>2000</v>
      </c>
      <c r="E125" s="244">
        <v>2001</v>
      </c>
      <c r="F125" s="244">
        <v>2002</v>
      </c>
      <c r="G125" s="244">
        <v>2003</v>
      </c>
      <c r="H125" s="244">
        <v>2004</v>
      </c>
      <c r="I125" s="244">
        <v>2005</v>
      </c>
      <c r="J125" s="244">
        <v>2006</v>
      </c>
      <c r="K125" s="244">
        <v>2007</v>
      </c>
      <c r="L125" s="244">
        <v>2008</v>
      </c>
      <c r="M125" s="244">
        <v>2009</v>
      </c>
      <c r="N125" s="244">
        <v>2010</v>
      </c>
      <c r="O125" s="244">
        <v>2011</v>
      </c>
      <c r="P125" s="244">
        <v>2012</v>
      </c>
      <c r="Q125" s="244">
        <v>2013</v>
      </c>
      <c r="R125" s="244">
        <v>2014</v>
      </c>
      <c r="S125" s="244">
        <v>2015</v>
      </c>
      <c r="T125" s="244"/>
      <c r="U125" s="429"/>
    </row>
    <row r="126" spans="1:21" s="12" customFormat="1" ht="15.6" hidden="1" x14ac:dyDescent="0.3">
      <c r="A126" s="6"/>
      <c r="B126" s="297" t="s">
        <v>10</v>
      </c>
      <c r="C126" s="297"/>
      <c r="D126" s="258"/>
      <c r="E126" s="258"/>
      <c r="F126" s="258"/>
      <c r="G126" s="258"/>
      <c r="H126" s="258"/>
      <c r="I126" s="258"/>
      <c r="J126" s="258"/>
      <c r="K126" s="258"/>
      <c r="L126" s="258"/>
      <c r="M126" s="258"/>
      <c r="N126" s="258"/>
      <c r="O126" s="258"/>
      <c r="P126" s="258"/>
      <c r="Q126" s="258"/>
      <c r="R126" s="258"/>
      <c r="S126" s="258"/>
      <c r="T126" s="258"/>
      <c r="U126" s="429"/>
    </row>
    <row r="127" spans="1:21" s="6" customFormat="1" ht="15.6" hidden="1" x14ac:dyDescent="0.3">
      <c r="B127" s="674" t="s">
        <v>17</v>
      </c>
      <c r="C127" s="675"/>
      <c r="D127" s="260">
        <v>0.85</v>
      </c>
      <c r="E127" s="260">
        <v>0.85709999999999997</v>
      </c>
      <c r="F127" s="260">
        <v>0.91200000000000003</v>
      </c>
      <c r="G127" s="260">
        <v>0.91400000000000003</v>
      </c>
      <c r="H127" s="260">
        <v>0.89600000000000002</v>
      </c>
      <c r="I127" s="260">
        <v>0.89</v>
      </c>
      <c r="J127" s="260">
        <v>0.89</v>
      </c>
      <c r="K127" s="264"/>
      <c r="L127" s="264"/>
      <c r="M127" s="264"/>
      <c r="N127" s="264"/>
      <c r="O127" s="264"/>
      <c r="P127" s="264"/>
      <c r="Q127" s="264"/>
      <c r="R127" s="264"/>
      <c r="S127" s="264"/>
      <c r="T127" s="264"/>
      <c r="U127" s="429"/>
    </row>
    <row r="128" spans="1:21" s="6" customFormat="1" ht="15.6" hidden="1" x14ac:dyDescent="0.3">
      <c r="B128" s="674" t="s">
        <v>16</v>
      </c>
      <c r="C128" s="675"/>
      <c r="D128" s="264">
        <v>46</v>
      </c>
      <c r="E128" s="264"/>
      <c r="F128" s="264"/>
      <c r="G128" s="264"/>
      <c r="H128" s="264"/>
      <c r="I128" s="264"/>
      <c r="J128" s="264"/>
      <c r="K128" s="264"/>
      <c r="L128" s="264"/>
      <c r="M128" s="264"/>
      <c r="N128" s="264"/>
      <c r="O128" s="264"/>
      <c r="P128" s="264"/>
      <c r="Q128" s="264"/>
      <c r="R128" s="264"/>
      <c r="S128" s="264"/>
      <c r="T128" s="264"/>
      <c r="U128" s="429"/>
    </row>
    <row r="129" spans="1:21" s="12" customFormat="1" ht="15.6" hidden="1" x14ac:dyDescent="0.3">
      <c r="A129" s="6"/>
      <c r="B129" s="297" t="s">
        <v>9</v>
      </c>
      <c r="C129" s="297"/>
      <c r="D129" s="258"/>
      <c r="E129" s="258"/>
      <c r="F129" s="258"/>
      <c r="G129" s="258"/>
      <c r="H129" s="258"/>
      <c r="I129" s="258"/>
      <c r="J129" s="258"/>
      <c r="K129" s="258"/>
      <c r="L129" s="258"/>
      <c r="M129" s="258"/>
      <c r="N129" s="258"/>
      <c r="O129" s="258"/>
      <c r="P129" s="258"/>
      <c r="Q129" s="258"/>
      <c r="R129" s="258"/>
      <c r="S129" s="258"/>
      <c r="T129" s="258"/>
      <c r="U129" s="429"/>
    </row>
    <row r="130" spans="1:21" s="6" customFormat="1" ht="15.6" hidden="1" x14ac:dyDescent="0.3">
      <c r="B130" s="674" t="s">
        <v>2</v>
      </c>
      <c r="C130" s="675"/>
      <c r="D130" s="314">
        <v>12098236</v>
      </c>
      <c r="E130" s="314">
        <v>14714206</v>
      </c>
      <c r="F130" s="314">
        <v>16168687</v>
      </c>
      <c r="G130" s="314">
        <v>17462833</v>
      </c>
      <c r="H130" s="314">
        <v>18614347</v>
      </c>
      <c r="I130" s="314">
        <v>19804586</v>
      </c>
      <c r="J130" s="314">
        <v>21786067</v>
      </c>
      <c r="K130" s="264"/>
      <c r="L130" s="264"/>
      <c r="M130" s="264"/>
      <c r="N130" s="264"/>
      <c r="O130" s="264"/>
      <c r="P130" s="264"/>
      <c r="Q130" s="264"/>
      <c r="R130" s="264"/>
      <c r="S130" s="264"/>
      <c r="T130" s="264"/>
      <c r="U130" s="429"/>
    </row>
    <row r="131" spans="1:21" s="6" customFormat="1" ht="15.6" hidden="1" x14ac:dyDescent="0.3">
      <c r="B131" s="674" t="s">
        <v>3</v>
      </c>
      <c r="C131" s="675"/>
      <c r="D131" s="314">
        <v>10237972</v>
      </c>
      <c r="E131" s="314">
        <v>12562143</v>
      </c>
      <c r="F131" s="314">
        <v>14642115</v>
      </c>
      <c r="G131" s="314">
        <v>15851545</v>
      </c>
      <c r="H131" s="314">
        <v>16567991</v>
      </c>
      <c r="I131" s="314">
        <v>17571839</v>
      </c>
      <c r="J131" s="314">
        <v>19237844</v>
      </c>
      <c r="K131" s="264"/>
      <c r="L131" s="264"/>
      <c r="M131" s="264"/>
      <c r="N131" s="264"/>
      <c r="O131" s="264"/>
      <c r="P131" s="264"/>
      <c r="Q131" s="264"/>
      <c r="R131" s="264"/>
      <c r="S131" s="264"/>
      <c r="T131" s="264"/>
      <c r="U131" s="429"/>
    </row>
    <row r="132" spans="1:21" s="6" customFormat="1" ht="15.6" hidden="1" x14ac:dyDescent="0.3">
      <c r="B132" s="674" t="s">
        <v>6</v>
      </c>
      <c r="C132" s="675"/>
      <c r="D132" s="314">
        <f t="shared" ref="D132:J132" si="3">D130-D131</f>
        <v>1860264</v>
      </c>
      <c r="E132" s="314">
        <f t="shared" si="3"/>
        <v>2152063</v>
      </c>
      <c r="F132" s="314">
        <f t="shared" si="3"/>
        <v>1526572</v>
      </c>
      <c r="G132" s="314">
        <f t="shared" si="3"/>
        <v>1611288</v>
      </c>
      <c r="H132" s="314">
        <f t="shared" si="3"/>
        <v>2046356</v>
      </c>
      <c r="I132" s="314">
        <f t="shared" si="3"/>
        <v>2232747</v>
      </c>
      <c r="J132" s="314">
        <f t="shared" si="3"/>
        <v>2548223</v>
      </c>
      <c r="K132" s="264"/>
      <c r="L132" s="264"/>
      <c r="M132" s="264"/>
      <c r="N132" s="264"/>
      <c r="O132" s="264"/>
      <c r="P132" s="264"/>
      <c r="Q132" s="264"/>
      <c r="R132" s="264"/>
      <c r="S132" s="264"/>
      <c r="T132" s="264"/>
      <c r="U132" s="429"/>
    </row>
    <row r="133" spans="1:21" s="12" customFormat="1" ht="15.6" hidden="1" x14ac:dyDescent="0.3">
      <c r="A133" s="6"/>
      <c r="B133" s="297" t="s">
        <v>8</v>
      </c>
      <c r="C133" s="297"/>
      <c r="D133" s="258"/>
      <c r="E133" s="258"/>
      <c r="F133" s="258"/>
      <c r="G133" s="258"/>
      <c r="H133" s="258"/>
      <c r="I133" s="258"/>
      <c r="J133" s="258"/>
      <c r="K133" s="258"/>
      <c r="L133" s="258"/>
      <c r="M133" s="258"/>
      <c r="N133" s="258"/>
      <c r="O133" s="258"/>
      <c r="P133" s="258"/>
      <c r="Q133" s="258"/>
      <c r="R133" s="258"/>
      <c r="S133" s="258"/>
      <c r="T133" s="258"/>
      <c r="U133" s="429"/>
    </row>
    <row r="134" spans="1:21" s="6" customFormat="1" ht="15.6" hidden="1" x14ac:dyDescent="0.3">
      <c r="B134" s="674" t="s">
        <v>4</v>
      </c>
      <c r="C134" s="675"/>
      <c r="D134" s="264"/>
      <c r="E134" s="272">
        <v>131079151</v>
      </c>
      <c r="F134" s="272">
        <v>145839788</v>
      </c>
      <c r="G134" s="272">
        <v>158316424</v>
      </c>
      <c r="H134" s="272">
        <v>169425311</v>
      </c>
      <c r="I134" s="272">
        <v>180996462</v>
      </c>
      <c r="J134" s="272">
        <v>200319864</v>
      </c>
      <c r="K134" s="264"/>
      <c r="L134" s="264"/>
      <c r="M134" s="264"/>
      <c r="N134" s="264"/>
      <c r="O134" s="264"/>
      <c r="P134" s="264"/>
      <c r="Q134" s="264"/>
      <c r="R134" s="264"/>
      <c r="S134" s="264"/>
      <c r="T134" s="264"/>
      <c r="U134" s="429"/>
    </row>
    <row r="135" spans="1:21" s="6" customFormat="1" ht="15.6" hidden="1" x14ac:dyDescent="0.3">
      <c r="B135" s="674" t="s">
        <v>5</v>
      </c>
      <c r="C135" s="675"/>
      <c r="D135" s="264"/>
      <c r="E135" s="272">
        <v>112353534</v>
      </c>
      <c r="F135" s="272">
        <v>132933654</v>
      </c>
      <c r="G135" s="272">
        <v>144749530</v>
      </c>
      <c r="H135" s="272">
        <v>151798265</v>
      </c>
      <c r="I135" s="272">
        <v>161429105</v>
      </c>
      <c r="J135" s="272">
        <v>177727097</v>
      </c>
      <c r="K135" s="264"/>
      <c r="L135" s="264"/>
      <c r="M135" s="264"/>
      <c r="N135" s="264"/>
      <c r="O135" s="264"/>
      <c r="P135" s="264"/>
      <c r="Q135" s="264"/>
      <c r="R135" s="264"/>
      <c r="S135" s="264"/>
      <c r="T135" s="264"/>
      <c r="U135" s="429"/>
    </row>
    <row r="136" spans="1:21" s="6" customFormat="1" ht="15.6" hidden="1" x14ac:dyDescent="0.3">
      <c r="B136" s="246"/>
      <c r="C136" s="246"/>
      <c r="D136" s="264"/>
      <c r="E136" s="264"/>
      <c r="F136" s="264"/>
      <c r="G136" s="264"/>
      <c r="H136" s="264"/>
      <c r="I136" s="264"/>
      <c r="J136" s="264"/>
      <c r="K136" s="264"/>
      <c r="L136" s="264"/>
      <c r="M136" s="264"/>
      <c r="N136" s="264"/>
      <c r="O136" s="264"/>
      <c r="P136" s="264"/>
      <c r="Q136" s="264"/>
      <c r="R136" s="264"/>
      <c r="S136" s="264"/>
      <c r="T136" s="264"/>
      <c r="U136" s="429"/>
    </row>
    <row r="137" spans="1:21" ht="23.4" x14ac:dyDescent="0.45">
      <c r="B137" s="58" t="s">
        <v>824</v>
      </c>
      <c r="C137" s="329"/>
      <c r="D137" s="330"/>
      <c r="E137" s="330"/>
      <c r="F137" s="330"/>
      <c r="G137" s="330"/>
      <c r="H137" s="330"/>
      <c r="I137" s="330"/>
      <c r="J137" s="330"/>
      <c r="K137" s="330"/>
      <c r="L137" s="330"/>
      <c r="M137" s="330"/>
      <c r="N137" s="330"/>
      <c r="O137" s="330"/>
      <c r="P137" s="330"/>
      <c r="Q137" s="330"/>
      <c r="R137" s="330"/>
      <c r="S137" s="330"/>
      <c r="T137" s="330"/>
      <c r="U137" s="330"/>
    </row>
    <row r="138" spans="1:21" ht="15.6" x14ac:dyDescent="0.3">
      <c r="B138" s="296"/>
      <c r="C138" s="296"/>
      <c r="D138" s="244">
        <v>2000</v>
      </c>
      <c r="E138" s="244">
        <v>2001</v>
      </c>
      <c r="F138" s="244">
        <v>2002</v>
      </c>
      <c r="G138" s="244">
        <v>2003</v>
      </c>
      <c r="H138" s="244">
        <v>2004</v>
      </c>
      <c r="I138" s="244">
        <v>2005</v>
      </c>
      <c r="J138" s="244">
        <v>2006</v>
      </c>
      <c r="K138" s="331" t="s">
        <v>347</v>
      </c>
      <c r="L138" s="331" t="s">
        <v>351</v>
      </c>
      <c r="M138" s="331" t="s">
        <v>348</v>
      </c>
      <c r="N138" s="244">
        <v>2010</v>
      </c>
      <c r="O138" s="244">
        <v>2011</v>
      </c>
      <c r="P138" s="244">
        <v>2012</v>
      </c>
      <c r="Q138" s="244">
        <v>2013</v>
      </c>
      <c r="R138" s="244">
        <v>2014</v>
      </c>
      <c r="S138" s="244">
        <v>2015</v>
      </c>
      <c r="T138" s="244">
        <v>2016</v>
      </c>
      <c r="U138" s="244">
        <v>2017</v>
      </c>
    </row>
    <row r="139" spans="1:21" s="12" customFormat="1" ht="15.6" x14ac:dyDescent="0.3">
      <c r="A139" s="6"/>
      <c r="B139" s="297" t="s">
        <v>10</v>
      </c>
      <c r="C139" s="297"/>
      <c r="D139" s="258"/>
      <c r="E139" s="258"/>
      <c r="F139" s="258"/>
      <c r="G139" s="258"/>
      <c r="H139" s="258"/>
      <c r="I139" s="258"/>
      <c r="J139" s="258"/>
      <c r="K139" s="258"/>
      <c r="L139" s="258"/>
      <c r="M139" s="258"/>
      <c r="N139" s="258"/>
      <c r="O139" s="258"/>
      <c r="P139" s="258"/>
      <c r="Q139" s="258"/>
      <c r="R139" s="258"/>
      <c r="S139" s="258"/>
      <c r="T139" s="258"/>
      <c r="U139" s="258"/>
    </row>
    <row r="140" spans="1:21" s="6" customFormat="1" ht="15.6" x14ac:dyDescent="0.3">
      <c r="B140" s="674" t="s">
        <v>17</v>
      </c>
      <c r="C140" s="675"/>
      <c r="D140" s="260">
        <v>0.94</v>
      </c>
      <c r="E140" s="260">
        <v>0.93310000000000004</v>
      </c>
      <c r="F140" s="260">
        <v>0.95499999999999996</v>
      </c>
      <c r="G140" s="260">
        <v>0.93500000000000005</v>
      </c>
      <c r="H140" s="260">
        <v>0.90700000000000003</v>
      </c>
      <c r="I140" s="260">
        <v>0.92769999999999997</v>
      </c>
      <c r="J140" s="260">
        <f>J196/J195</f>
        <v>0.9091199661960232</v>
      </c>
      <c r="K140" s="260">
        <v>0.92</v>
      </c>
      <c r="L140" s="260"/>
      <c r="M140" s="260">
        <v>0.93700000000000006</v>
      </c>
      <c r="N140" s="260">
        <v>0.94030000000000002</v>
      </c>
      <c r="O140" s="260">
        <v>0.92800000000000005</v>
      </c>
      <c r="P140" s="260">
        <v>0.92800000000000005</v>
      </c>
      <c r="Q140" s="260">
        <v>0.92600000000000005</v>
      </c>
      <c r="R140" s="260">
        <v>0.93140000000000001</v>
      </c>
      <c r="S140" s="260">
        <v>0.92720000000000002</v>
      </c>
      <c r="T140" s="260">
        <v>0.90590000000000004</v>
      </c>
      <c r="U140" s="260">
        <v>0.96829999999999994</v>
      </c>
    </row>
    <row r="141" spans="1:21" s="6" customFormat="1" ht="15.6" x14ac:dyDescent="0.3">
      <c r="B141" s="298" t="s">
        <v>260</v>
      </c>
      <c r="C141" s="299" t="s">
        <v>233</v>
      </c>
      <c r="D141" s="265"/>
      <c r="E141" s="265"/>
      <c r="F141" s="265"/>
      <c r="G141" s="265"/>
      <c r="H141" s="265"/>
      <c r="I141" s="265"/>
      <c r="J141" s="265"/>
      <c r="K141" s="265">
        <f>K210/K212</f>
        <v>131.06172522319994</v>
      </c>
      <c r="L141" s="265"/>
      <c r="M141" s="265">
        <f t="shared" ref="M141:U141" si="4">M210/M212</f>
        <v>131.57474531344809</v>
      </c>
      <c r="N141" s="265">
        <f t="shared" si="4"/>
        <v>125.57901798549659</v>
      </c>
      <c r="O141" s="265">
        <f t="shared" si="4"/>
        <v>121.24378582058833</v>
      </c>
      <c r="P141" s="265">
        <f t="shared" si="4"/>
        <v>120.90478628103403</v>
      </c>
      <c r="Q141" s="265">
        <f t="shared" si="4"/>
        <v>123.77280238473253</v>
      </c>
      <c r="R141" s="265">
        <f t="shared" si="4"/>
        <v>125.34006995724835</v>
      </c>
      <c r="S141" s="265">
        <f t="shared" si="4"/>
        <v>121.3379392812064</v>
      </c>
      <c r="T141" s="265">
        <f t="shared" si="4"/>
        <v>125.64695159662772</v>
      </c>
      <c r="U141" s="265">
        <f t="shared" si="4"/>
        <v>117.77131486300321</v>
      </c>
    </row>
    <row r="142" spans="1:21" s="6" customFormat="1" ht="15.6" x14ac:dyDescent="0.3">
      <c r="B142" s="301" t="s">
        <v>260</v>
      </c>
      <c r="C142" s="302" t="s">
        <v>234</v>
      </c>
      <c r="D142" s="332"/>
      <c r="E142" s="332"/>
      <c r="F142" s="332"/>
      <c r="G142" s="332"/>
      <c r="H142" s="332"/>
      <c r="I142" s="332"/>
      <c r="J142" s="332"/>
      <c r="K142" s="332">
        <f>K213/K215</f>
        <v>121.57209326505679</v>
      </c>
      <c r="L142" s="332"/>
      <c r="M142" s="332">
        <f t="shared" ref="M142:T142" si="5">M213/M215</f>
        <v>121.24258829595256</v>
      </c>
      <c r="N142" s="332">
        <f t="shared" si="5"/>
        <v>113.43938003466911</v>
      </c>
      <c r="O142" s="332">
        <f t="shared" si="5"/>
        <v>110.83824082195214</v>
      </c>
      <c r="P142" s="332">
        <f t="shared" si="5"/>
        <v>117.75738328040211</v>
      </c>
      <c r="Q142" s="332">
        <f t="shared" si="5"/>
        <v>122.9221784056307</v>
      </c>
      <c r="R142" s="332">
        <f t="shared" si="5"/>
        <v>125.33736103201525</v>
      </c>
      <c r="S142" s="332">
        <f t="shared" si="5"/>
        <v>121.50911318348876</v>
      </c>
      <c r="T142" s="332">
        <f t="shared" si="5"/>
        <v>125.64693063913033</v>
      </c>
      <c r="U142" s="265">
        <f t="shared" ref="U142:U169" si="6">U211/U213</f>
        <v>2.8233633315687313E-5</v>
      </c>
    </row>
    <row r="143" spans="1:21" s="6" customFormat="1" ht="15.6" x14ac:dyDescent="0.3">
      <c r="B143" s="298" t="s">
        <v>260</v>
      </c>
      <c r="C143" s="299" t="s">
        <v>168</v>
      </c>
      <c r="D143" s="333"/>
      <c r="E143" s="333"/>
      <c r="F143" s="333"/>
      <c r="G143" s="333"/>
      <c r="H143" s="333"/>
      <c r="I143" s="333"/>
      <c r="J143" s="333"/>
      <c r="K143" s="333">
        <f>K216/K218</f>
        <v>134.26874345899486</v>
      </c>
      <c r="L143" s="333"/>
      <c r="M143" s="333">
        <f t="shared" ref="M143:T143" si="7">M216/M218</f>
        <v>138.82980918708469</v>
      </c>
      <c r="N143" s="333">
        <f t="shared" si="7"/>
        <v>132.13101783010245</v>
      </c>
      <c r="O143" s="333">
        <f t="shared" si="7"/>
        <v>128.31037559298429</v>
      </c>
      <c r="P143" s="333">
        <f t="shared" si="7"/>
        <v>122.20309810671256</v>
      </c>
      <c r="Q143" s="333">
        <f t="shared" si="7"/>
        <v>124.25356551250455</v>
      </c>
      <c r="R143" s="333">
        <f t="shared" si="7"/>
        <v>125.33862423918617</v>
      </c>
      <c r="S143" s="333">
        <f t="shared" si="7"/>
        <v>121.3258551278556</v>
      </c>
      <c r="T143" s="333">
        <f t="shared" si="7"/>
        <v>125.64648695265846</v>
      </c>
      <c r="U143" s="265">
        <f t="shared" si="6"/>
        <v>138.41101694915255</v>
      </c>
    </row>
    <row r="144" spans="1:21" s="6" customFormat="1" ht="15.6" x14ac:dyDescent="0.3">
      <c r="B144" s="301" t="s">
        <v>260</v>
      </c>
      <c r="C144" s="302" t="s">
        <v>169</v>
      </c>
      <c r="D144" s="332"/>
      <c r="E144" s="332"/>
      <c r="F144" s="332"/>
      <c r="G144" s="332"/>
      <c r="H144" s="332"/>
      <c r="I144" s="332"/>
      <c r="J144" s="332"/>
      <c r="K144" s="332">
        <f>K219/K221</f>
        <v>128.06608235071567</v>
      </c>
      <c r="L144" s="332"/>
      <c r="M144" s="332">
        <f t="shared" ref="M144:T144" si="8">M219/M221</f>
        <v>133.04578633045787</v>
      </c>
      <c r="N144" s="332">
        <f t="shared" si="8"/>
        <v>128.67944267440203</v>
      </c>
      <c r="O144" s="332">
        <f t="shared" si="8"/>
        <v>124.90128565562119</v>
      </c>
      <c r="P144" s="332">
        <f t="shared" si="8"/>
        <v>124.83555499199569</v>
      </c>
      <c r="Q144" s="332">
        <f t="shared" si="8"/>
        <v>123.9882324878747</v>
      </c>
      <c r="R144" s="332">
        <f t="shared" si="8"/>
        <v>1253.3671367453653</v>
      </c>
      <c r="S144" s="332">
        <f t="shared" si="8"/>
        <v>121.30799993575638</v>
      </c>
      <c r="T144" s="332">
        <f t="shared" si="8"/>
        <v>125.60409437340559</v>
      </c>
      <c r="U144" s="265">
        <f t="shared" si="6"/>
        <v>142.37620279878402</v>
      </c>
    </row>
    <row r="145" spans="2:21" s="6" customFormat="1" ht="15.6" x14ac:dyDescent="0.3">
      <c r="B145" s="298" t="s">
        <v>260</v>
      </c>
      <c r="C145" s="299" t="s">
        <v>170</v>
      </c>
      <c r="D145" s="333"/>
      <c r="E145" s="333"/>
      <c r="F145" s="333"/>
      <c r="G145" s="333"/>
      <c r="H145" s="333"/>
      <c r="I145" s="333"/>
      <c r="J145" s="333"/>
      <c r="K145" s="333">
        <f>K222/K224</f>
        <v>125.27611233827706</v>
      </c>
      <c r="L145" s="333"/>
      <c r="M145" s="333">
        <f t="shared" ref="M145:T145" si="9">M222/M224</f>
        <v>116.65127731609726</v>
      </c>
      <c r="N145" s="333">
        <f t="shared" si="9"/>
        <v>112.74961597542243</v>
      </c>
      <c r="O145" s="333">
        <f t="shared" si="9"/>
        <v>109.24626182483979</v>
      </c>
      <c r="P145" s="333">
        <f t="shared" si="9"/>
        <v>116.61631419939577</v>
      </c>
      <c r="Q145" s="333">
        <f t="shared" si="9"/>
        <v>122.5865767698437</v>
      </c>
      <c r="R145" s="333">
        <f t="shared" si="9"/>
        <v>125.30864197530865</v>
      </c>
      <c r="S145" s="333">
        <f t="shared" si="9"/>
        <v>1520.1751642164529</v>
      </c>
      <c r="T145" s="333">
        <f t="shared" si="9"/>
        <v>126.53940886699507</v>
      </c>
      <c r="U145" s="265">
        <f t="shared" si="6"/>
        <v>4.766328715110878E-6</v>
      </c>
    </row>
    <row r="146" spans="2:21" s="6" customFormat="1" ht="15.6" x14ac:dyDescent="0.3">
      <c r="B146" s="301" t="s">
        <v>260</v>
      </c>
      <c r="C146" s="302" t="s">
        <v>171</v>
      </c>
      <c r="D146" s="332"/>
      <c r="E146" s="332"/>
      <c r="F146" s="332"/>
      <c r="G146" s="332"/>
      <c r="H146" s="332"/>
      <c r="I146" s="332"/>
      <c r="J146" s="332"/>
      <c r="K146" s="332">
        <f>K225/K227</f>
        <v>131.22038428826826</v>
      </c>
      <c r="L146" s="332"/>
      <c r="M146" s="332">
        <f t="shared" ref="M146:T146" si="10">M225/M227</f>
        <v>134.91116188657367</v>
      </c>
      <c r="N146" s="332">
        <f t="shared" si="10"/>
        <v>129.55754619163366</v>
      </c>
      <c r="O146" s="332">
        <f t="shared" si="10"/>
        <v>125.21712734202404</v>
      </c>
      <c r="P146" s="332">
        <f t="shared" si="10"/>
        <v>122.69133725820016</v>
      </c>
      <c r="Q146" s="332">
        <f t="shared" si="10"/>
        <v>122.60671886840112</v>
      </c>
      <c r="R146" s="332">
        <f t="shared" si="10"/>
        <v>125.33950977288254</v>
      </c>
      <c r="S146" s="332">
        <f t="shared" si="10"/>
        <v>762.69550748752079</v>
      </c>
      <c r="T146" s="332">
        <f t="shared" si="10"/>
        <v>125.64376799670917</v>
      </c>
      <c r="U146" s="265">
        <f t="shared" si="6"/>
        <v>19.284399224806201</v>
      </c>
    </row>
    <row r="147" spans="2:21" s="6" customFormat="1" ht="15.6" x14ac:dyDescent="0.3">
      <c r="B147" s="298" t="s">
        <v>260</v>
      </c>
      <c r="C147" s="299" t="s">
        <v>172</v>
      </c>
      <c r="D147" s="333"/>
      <c r="E147" s="333"/>
      <c r="F147" s="333"/>
      <c r="G147" s="333"/>
      <c r="H147" s="333"/>
      <c r="I147" s="333"/>
      <c r="J147" s="333"/>
      <c r="K147" s="333">
        <f>K228/K230</f>
        <v>126.61025729580383</v>
      </c>
      <c r="L147" s="333"/>
      <c r="M147" s="333">
        <f t="shared" ref="M147:T147" si="11">M228/M230</f>
        <v>134.89023051591658</v>
      </c>
      <c r="N147" s="333">
        <f t="shared" si="11"/>
        <v>129.07456592839739</v>
      </c>
      <c r="O147" s="333">
        <f t="shared" si="11"/>
        <v>124.83584984824626</v>
      </c>
      <c r="P147" s="333">
        <f t="shared" si="11"/>
        <v>122.0615903635302</v>
      </c>
      <c r="Q147" s="333">
        <f t="shared" si="11"/>
        <v>123.44576861850879</v>
      </c>
      <c r="R147" s="333">
        <f t="shared" si="11"/>
        <v>125.33744697261859</v>
      </c>
      <c r="S147" s="333">
        <f t="shared" si="11"/>
        <v>38.629726426047064</v>
      </c>
      <c r="T147" s="333">
        <f t="shared" si="11"/>
        <v>125.61207662057592</v>
      </c>
      <c r="U147" s="265">
        <f t="shared" si="6"/>
        <v>121.28857784647494</v>
      </c>
    </row>
    <row r="148" spans="2:21" s="6" customFormat="1" ht="15.6" x14ac:dyDescent="0.3">
      <c r="B148" s="301" t="s">
        <v>260</v>
      </c>
      <c r="C148" s="302" t="s">
        <v>235</v>
      </c>
      <c r="D148" s="332"/>
      <c r="E148" s="332"/>
      <c r="F148" s="332"/>
      <c r="G148" s="332"/>
      <c r="H148" s="332"/>
      <c r="I148" s="332"/>
      <c r="J148" s="332"/>
      <c r="K148" s="332">
        <f>K231/K233</f>
        <v>132.10692616356835</v>
      </c>
      <c r="L148" s="332"/>
      <c r="M148" s="332">
        <f t="shared" ref="M148:T148" si="12">M231/M233</f>
        <v>138.72642057558971</v>
      </c>
      <c r="N148" s="332">
        <f t="shared" si="12"/>
        <v>133.60609204627764</v>
      </c>
      <c r="O148" s="332">
        <f t="shared" si="12"/>
        <v>129.75758285513527</v>
      </c>
      <c r="P148" s="332">
        <f t="shared" si="12"/>
        <v>125.66797815491221</v>
      </c>
      <c r="Q148" s="332">
        <f t="shared" si="12"/>
        <v>123.4732487697767</v>
      </c>
      <c r="R148" s="332">
        <f t="shared" si="12"/>
        <v>125.33549595473943</v>
      </c>
      <c r="S148" s="332">
        <f t="shared" si="12"/>
        <v>121.16382577598102</v>
      </c>
      <c r="T148" s="332">
        <f t="shared" si="12"/>
        <v>125.77612887103285</v>
      </c>
      <c r="U148" s="265">
        <f t="shared" si="6"/>
        <v>2.5774225774225775E-4</v>
      </c>
    </row>
    <row r="149" spans="2:21" s="6" customFormat="1" ht="15.6" hidden="1" x14ac:dyDescent="0.3">
      <c r="B149" s="298" t="s">
        <v>260</v>
      </c>
      <c r="C149" s="299" t="s">
        <v>236</v>
      </c>
      <c r="D149" s="333"/>
      <c r="E149" s="333"/>
      <c r="F149" s="333"/>
      <c r="G149" s="333"/>
      <c r="H149" s="333"/>
      <c r="I149" s="333"/>
      <c r="J149" s="333"/>
      <c r="K149" s="333" t="e">
        <f>#REF!/#REF!</f>
        <v>#REF!</v>
      </c>
      <c r="L149" s="431"/>
      <c r="M149" s="431"/>
      <c r="N149" s="431"/>
      <c r="O149" s="431"/>
      <c r="P149" s="431"/>
      <c r="Q149" s="431"/>
      <c r="R149" s="266"/>
      <c r="S149" s="266"/>
      <c r="T149" s="266"/>
      <c r="U149" s="265">
        <f t="shared" si="6"/>
        <v>1222.254491017964</v>
      </c>
    </row>
    <row r="150" spans="2:21" s="6" customFormat="1" ht="15.6" x14ac:dyDescent="0.3">
      <c r="B150" s="298" t="s">
        <v>260</v>
      </c>
      <c r="C150" s="299" t="s">
        <v>349</v>
      </c>
      <c r="D150" s="333"/>
      <c r="E150" s="333"/>
      <c r="F150" s="333"/>
      <c r="G150" s="333"/>
      <c r="H150" s="333"/>
      <c r="I150" s="333"/>
      <c r="J150" s="333"/>
      <c r="K150" s="333"/>
      <c r="L150" s="333"/>
      <c r="M150" s="333">
        <f t="shared" ref="M150:T150" si="13">M234/M236</f>
        <v>134.36452612862109</v>
      </c>
      <c r="N150" s="333">
        <f t="shared" si="13"/>
        <v>128.36007827788649</v>
      </c>
      <c r="O150" s="333">
        <f t="shared" si="13"/>
        <v>123.97348526010215</v>
      </c>
      <c r="P150" s="333">
        <f t="shared" si="13"/>
        <v>120.79257042744848</v>
      </c>
      <c r="Q150" s="333">
        <f t="shared" si="13"/>
        <v>123.34699199105978</v>
      </c>
      <c r="R150" s="333">
        <f t="shared" si="13"/>
        <v>125.34228561704234</v>
      </c>
      <c r="S150" s="333">
        <f t="shared" si="13"/>
        <v>121.32933131169354</v>
      </c>
      <c r="T150" s="333">
        <f t="shared" si="13"/>
        <v>125.6496059956513</v>
      </c>
      <c r="U150" s="265">
        <f t="shared" si="6"/>
        <v>123.32332332332332</v>
      </c>
    </row>
    <row r="151" spans="2:21" s="6" customFormat="1" ht="15.6" x14ac:dyDescent="0.3">
      <c r="B151" s="301" t="s">
        <v>260</v>
      </c>
      <c r="C151" s="302" t="s">
        <v>175</v>
      </c>
      <c r="D151" s="332"/>
      <c r="E151" s="332"/>
      <c r="F151" s="332"/>
      <c r="G151" s="332"/>
      <c r="H151" s="332"/>
      <c r="I151" s="332"/>
      <c r="J151" s="332"/>
      <c r="K151" s="332">
        <f>K237/K239</f>
        <v>127.85640664672314</v>
      </c>
      <c r="L151" s="332"/>
      <c r="M151" s="332">
        <f t="shared" ref="M151:T151" si="14">M237/M239</f>
        <v>132.81172255945864</v>
      </c>
      <c r="N151" s="332">
        <f t="shared" si="14"/>
        <v>127.75797639455867</v>
      </c>
      <c r="O151" s="332">
        <f t="shared" si="14"/>
        <v>123.82647112965576</v>
      </c>
      <c r="P151" s="332">
        <f t="shared" si="14"/>
        <v>122.85289820373985</v>
      </c>
      <c r="Q151" s="332">
        <f t="shared" si="14"/>
        <v>124.44433559068811</v>
      </c>
      <c r="R151" s="332">
        <f t="shared" si="14"/>
        <v>125.34129382212676</v>
      </c>
      <c r="S151" s="332">
        <f t="shared" si="14"/>
        <v>121.32339618539143</v>
      </c>
      <c r="T151" s="332">
        <f t="shared" si="14"/>
        <v>125.64572571238126</v>
      </c>
      <c r="U151" s="265">
        <f t="shared" si="6"/>
        <v>8.1265206812652067E-4</v>
      </c>
    </row>
    <row r="152" spans="2:21" s="6" customFormat="1" ht="15.6" x14ac:dyDescent="0.3">
      <c r="B152" s="298" t="s">
        <v>260</v>
      </c>
      <c r="C152" s="299" t="s">
        <v>176</v>
      </c>
      <c r="D152" s="333"/>
      <c r="E152" s="333"/>
      <c r="F152" s="333"/>
      <c r="G152" s="333"/>
      <c r="H152" s="333"/>
      <c r="I152" s="333"/>
      <c r="J152" s="333"/>
      <c r="K152" s="333">
        <f>K240/K242</f>
        <v>130.2624888218688</v>
      </c>
      <c r="L152" s="333"/>
      <c r="M152" s="333">
        <f t="shared" ref="M152:T152" si="15">M240/M242</f>
        <v>135.80268192629873</v>
      </c>
      <c r="N152" s="333">
        <f t="shared" si="15"/>
        <v>130.98792002221606</v>
      </c>
      <c r="O152" s="333">
        <f t="shared" si="15"/>
        <v>127.44673104596127</v>
      </c>
      <c r="P152" s="333">
        <f t="shared" si="15"/>
        <v>125.32234895031067</v>
      </c>
      <c r="Q152" s="333">
        <f t="shared" si="15"/>
        <v>122.63627216265917</v>
      </c>
      <c r="R152" s="333">
        <f t="shared" si="15"/>
        <v>125.33801822284228</v>
      </c>
      <c r="S152" s="333">
        <f t="shared" si="15"/>
        <v>121.26574372853128</v>
      </c>
      <c r="T152" s="333">
        <f t="shared" si="15"/>
        <v>125.64450474898236</v>
      </c>
      <c r="U152" s="265">
        <f t="shared" si="6"/>
        <v>3819.705882352941</v>
      </c>
    </row>
    <row r="153" spans="2:21" s="6" customFormat="1" ht="15.6" x14ac:dyDescent="0.3">
      <c r="B153" s="301" t="s">
        <v>260</v>
      </c>
      <c r="C153" s="302" t="s">
        <v>178</v>
      </c>
      <c r="D153" s="332"/>
      <c r="E153" s="332"/>
      <c r="F153" s="332"/>
      <c r="G153" s="332"/>
      <c r="H153" s="332"/>
      <c r="I153" s="332"/>
      <c r="J153" s="332"/>
      <c r="K153" s="332">
        <f>K243/K245</f>
        <v>120.43706822186668</v>
      </c>
      <c r="L153" s="332"/>
      <c r="M153" s="332">
        <f t="shared" ref="M153:T153" si="16">M243/M245</f>
        <v>126.24877676334269</v>
      </c>
      <c r="N153" s="332">
        <f t="shared" si="16"/>
        <v>120.69794066514962</v>
      </c>
      <c r="O153" s="332">
        <f t="shared" si="16"/>
        <v>117.19060953487963</v>
      </c>
      <c r="P153" s="332">
        <f t="shared" si="16"/>
        <v>121.46451257237764</v>
      </c>
      <c r="Q153" s="332">
        <f t="shared" si="16"/>
        <v>124.68116245034497</v>
      </c>
      <c r="R153" s="332">
        <f t="shared" si="16"/>
        <v>125.33860787995096</v>
      </c>
      <c r="S153" s="332">
        <f t="shared" si="16"/>
        <v>121.33030153771415</v>
      </c>
      <c r="T153" s="332">
        <f t="shared" si="16"/>
        <v>125.65479786746693</v>
      </c>
      <c r="U153" s="265">
        <f t="shared" si="6"/>
        <v>6.6175049913054682</v>
      </c>
    </row>
    <row r="154" spans="2:21" s="6" customFormat="1" ht="15.6" x14ac:dyDescent="0.3">
      <c r="B154" s="298" t="s">
        <v>260</v>
      </c>
      <c r="C154" s="299" t="s">
        <v>237</v>
      </c>
      <c r="D154" s="333"/>
      <c r="E154" s="333"/>
      <c r="F154" s="333"/>
      <c r="G154" s="333"/>
      <c r="H154" s="333"/>
      <c r="I154" s="333"/>
      <c r="J154" s="333"/>
      <c r="K154" s="333">
        <f>K246/K248</f>
        <v>124.08466879497635</v>
      </c>
      <c r="L154" s="333"/>
      <c r="M154" s="333">
        <f t="shared" ref="M154:T154" si="17">M246/M248</f>
        <v>129.57243767165008</v>
      </c>
      <c r="N154" s="333">
        <f t="shared" si="17"/>
        <v>124.78656193972509</v>
      </c>
      <c r="O154" s="333">
        <f t="shared" si="17"/>
        <v>121.31605014538754</v>
      </c>
      <c r="P154" s="333">
        <f t="shared" si="17"/>
        <v>124.32760622490174</v>
      </c>
      <c r="Q154" s="333">
        <f t="shared" si="17"/>
        <v>124.58462943106176</v>
      </c>
      <c r="R154" s="333">
        <f t="shared" si="17"/>
        <v>125.33504191360991</v>
      </c>
      <c r="S154" s="333">
        <f t="shared" si="17"/>
        <v>0.12135587278284782</v>
      </c>
      <c r="T154" s="333">
        <f t="shared" si="17"/>
        <v>125.67783094098884</v>
      </c>
      <c r="U154" s="265">
        <f t="shared" si="6"/>
        <v>2.2138299257715847E-6</v>
      </c>
    </row>
    <row r="155" spans="2:21" s="6" customFormat="1" ht="15.6" x14ac:dyDescent="0.3">
      <c r="B155" s="301" t="s">
        <v>260</v>
      </c>
      <c r="C155" s="302" t="s">
        <v>238</v>
      </c>
      <c r="D155" s="332"/>
      <c r="E155" s="332"/>
      <c r="F155" s="332"/>
      <c r="G155" s="332"/>
      <c r="H155" s="332"/>
      <c r="I155" s="332"/>
      <c r="J155" s="332"/>
      <c r="K155" s="332">
        <f>K249/K251</f>
        <v>121.73799582463465</v>
      </c>
      <c r="L155" s="332"/>
      <c r="M155" s="332">
        <f t="shared" ref="M155:T155" si="18">M249/M251</f>
        <v>123.01257404135924</v>
      </c>
      <c r="N155" s="332">
        <f t="shared" si="18"/>
        <v>120.13505378595545</v>
      </c>
      <c r="O155" s="332">
        <f t="shared" si="18"/>
        <v>117.45389586507645</v>
      </c>
      <c r="P155" s="332">
        <f t="shared" si="18"/>
        <v>123.8514199442955</v>
      </c>
      <c r="Q155" s="332">
        <f t="shared" si="18"/>
        <v>121.30689895830641</v>
      </c>
      <c r="R155" s="332">
        <f t="shared" si="18"/>
        <v>125.32870382189998</v>
      </c>
      <c r="S155" s="332">
        <f t="shared" si="18"/>
        <v>120.99634913648015</v>
      </c>
      <c r="T155" s="332">
        <f t="shared" si="18"/>
        <v>128.03970223325061</v>
      </c>
      <c r="U155" s="265">
        <f t="shared" si="6"/>
        <v>194.08750000000001</v>
      </c>
    </row>
    <row r="156" spans="2:21" s="6" customFormat="1" ht="15.6" x14ac:dyDescent="0.3">
      <c r="B156" s="298" t="s">
        <v>260</v>
      </c>
      <c r="C156" s="299" t="s">
        <v>239</v>
      </c>
      <c r="D156" s="333"/>
      <c r="E156" s="333"/>
      <c r="F156" s="333"/>
      <c r="G156" s="333"/>
      <c r="H156" s="333"/>
      <c r="I156" s="333"/>
      <c r="J156" s="333"/>
      <c r="K156" s="333">
        <f>K252/K254</f>
        <v>134.53757685813503</v>
      </c>
      <c r="L156" s="333"/>
      <c r="M156" s="333">
        <f t="shared" ref="M156:T156" si="19">M252/M254</f>
        <v>136.07115821347463</v>
      </c>
      <c r="N156" s="333">
        <f t="shared" si="19"/>
        <v>130.47643377187381</v>
      </c>
      <c r="O156" s="333">
        <f t="shared" si="19"/>
        <v>126.37327744967295</v>
      </c>
      <c r="P156" s="333">
        <f t="shared" si="19"/>
        <v>122.38423329594616</v>
      </c>
      <c r="Q156" s="333">
        <f t="shared" si="19"/>
        <v>124.20246703530412</v>
      </c>
      <c r="R156" s="333">
        <f t="shared" si="19"/>
        <v>125.35057907414129</v>
      </c>
      <c r="S156" s="333">
        <f t="shared" si="19"/>
        <v>121.33292446079935</v>
      </c>
      <c r="T156" s="333">
        <f t="shared" si="19"/>
        <v>125.64325335828377</v>
      </c>
      <c r="U156" s="265">
        <f t="shared" si="6"/>
        <v>123.63946673536421</v>
      </c>
    </row>
    <row r="157" spans="2:21" s="6" customFormat="1" ht="15.6" x14ac:dyDescent="0.3">
      <c r="B157" s="301" t="s">
        <v>260</v>
      </c>
      <c r="C157" s="302" t="s">
        <v>240</v>
      </c>
      <c r="D157" s="332"/>
      <c r="E157" s="332"/>
      <c r="F157" s="332"/>
      <c r="G157" s="332"/>
      <c r="H157" s="332"/>
      <c r="I157" s="332"/>
      <c r="J157" s="332"/>
      <c r="K157" s="332">
        <f>K255/K257</f>
        <v>127.47874594362646</v>
      </c>
      <c r="L157" s="332"/>
      <c r="M157" s="332">
        <f t="shared" ref="M157:T157" si="20">M255/M257</f>
        <v>133.55049566926962</v>
      </c>
      <c r="N157" s="332">
        <f t="shared" si="20"/>
        <v>126.96978783219669</v>
      </c>
      <c r="O157" s="332">
        <f t="shared" si="20"/>
        <v>122.53496258170438</v>
      </c>
      <c r="P157" s="332">
        <f t="shared" si="20"/>
        <v>121.44896265560166</v>
      </c>
      <c r="Q157" s="332">
        <f t="shared" si="20"/>
        <v>124.83849203554895</v>
      </c>
      <c r="R157" s="332">
        <f t="shared" si="20"/>
        <v>125.33734175705897</v>
      </c>
      <c r="S157" s="332">
        <f t="shared" si="20"/>
        <v>121.32374439559102</v>
      </c>
      <c r="T157" s="332">
        <f t="shared" si="20"/>
        <v>125.64556539429381</v>
      </c>
      <c r="U157" s="265">
        <f t="shared" si="6"/>
        <v>1.2731251243286254E-5</v>
      </c>
    </row>
    <row r="158" spans="2:21" s="6" customFormat="1" ht="15.6" x14ac:dyDescent="0.3">
      <c r="B158" s="298" t="s">
        <v>260</v>
      </c>
      <c r="C158" s="299" t="s">
        <v>241</v>
      </c>
      <c r="D158" s="333"/>
      <c r="E158" s="333"/>
      <c r="F158" s="333"/>
      <c r="G158" s="333"/>
      <c r="H158" s="333"/>
      <c r="I158" s="333"/>
      <c r="J158" s="333"/>
      <c r="K158" s="333">
        <f>K258/K260</f>
        <v>123.13244921940574</v>
      </c>
      <c r="L158" s="333"/>
      <c r="M158" s="333">
        <f t="shared" ref="M158:T158" si="21">M258/M260</f>
        <v>126.16190637147203</v>
      </c>
      <c r="N158" s="333">
        <f t="shared" si="21"/>
        <v>122.04657487676356</v>
      </c>
      <c r="O158" s="333">
        <f t="shared" si="21"/>
        <v>119.4093547285763</v>
      </c>
      <c r="P158" s="333">
        <f t="shared" si="21"/>
        <v>121.55172413793103</v>
      </c>
      <c r="Q158" s="333">
        <f t="shared" si="21"/>
        <v>123.81363244176013</v>
      </c>
      <c r="R158" s="333">
        <f t="shared" si="21"/>
        <v>125.3145882148746</v>
      </c>
      <c r="S158" s="333">
        <f t="shared" si="21"/>
        <v>121.1030122069026</v>
      </c>
      <c r="T158" s="333">
        <f t="shared" si="21"/>
        <v>125.5049824939402</v>
      </c>
      <c r="U158" s="265">
        <f t="shared" si="6"/>
        <v>59.263358778625957</v>
      </c>
    </row>
    <row r="159" spans="2:21" s="6" customFormat="1" ht="15.6" x14ac:dyDescent="0.3">
      <c r="B159" s="301" t="s">
        <v>260</v>
      </c>
      <c r="C159" s="302" t="s">
        <v>183</v>
      </c>
      <c r="D159" s="332"/>
      <c r="E159" s="332"/>
      <c r="F159" s="332"/>
      <c r="G159" s="332"/>
      <c r="H159" s="332"/>
      <c r="I159" s="332"/>
      <c r="J159" s="332"/>
      <c r="K159" s="332">
        <f>K261/K263</f>
        <v>134.2904696634871</v>
      </c>
      <c r="L159" s="332"/>
      <c r="M159" s="332">
        <f t="shared" ref="M159:T159" si="22">M261/M263</f>
        <v>138.24317672154461</v>
      </c>
      <c r="N159" s="332">
        <f t="shared" si="22"/>
        <v>131.97835286458334</v>
      </c>
      <c r="O159" s="332">
        <f t="shared" si="22"/>
        <v>127.41816226389729</v>
      </c>
      <c r="P159" s="332">
        <f t="shared" si="22"/>
        <v>121.27976687764418</v>
      </c>
      <c r="Q159" s="332">
        <f t="shared" si="22"/>
        <v>123.09855045555217</v>
      </c>
      <c r="R159" s="332">
        <f t="shared" si="22"/>
        <v>125.33602591169567</v>
      </c>
      <c r="S159" s="332">
        <f t="shared" si="22"/>
        <v>121.30269389022591</v>
      </c>
      <c r="T159" s="332">
        <f t="shared" si="22"/>
        <v>125.62896972696527</v>
      </c>
      <c r="U159" s="265">
        <f t="shared" si="6"/>
        <v>122.69654145615191</v>
      </c>
    </row>
    <row r="160" spans="2:21" s="6" customFormat="1" ht="15.6" x14ac:dyDescent="0.3">
      <c r="B160" s="298" t="s">
        <v>260</v>
      </c>
      <c r="C160" s="299" t="s">
        <v>184</v>
      </c>
      <c r="D160" s="333"/>
      <c r="E160" s="333"/>
      <c r="F160" s="333"/>
      <c r="G160" s="333"/>
      <c r="H160" s="333"/>
      <c r="I160" s="333"/>
      <c r="J160" s="333"/>
      <c r="K160" s="333">
        <f>K264/K266</f>
        <v>129.17238796654601</v>
      </c>
      <c r="L160" s="333"/>
      <c r="M160" s="333">
        <f t="shared" ref="M160:T160" si="23">M264/M266</f>
        <v>132.55991562715931</v>
      </c>
      <c r="N160" s="333">
        <f t="shared" si="23"/>
        <v>126.85277581716845</v>
      </c>
      <c r="O160" s="333">
        <f t="shared" si="23"/>
        <v>123.22947894794335</v>
      </c>
      <c r="P160" s="333">
        <f t="shared" si="23"/>
        <v>121.36506816827408</v>
      </c>
      <c r="Q160" s="333">
        <f t="shared" si="23"/>
        <v>123.46551913301069</v>
      </c>
      <c r="R160" s="333">
        <f t="shared" si="23"/>
        <v>125.33974366717804</v>
      </c>
      <c r="S160" s="333">
        <f t="shared" si="23"/>
        <v>121.31887878752055</v>
      </c>
      <c r="T160" s="333">
        <f t="shared" si="23"/>
        <v>125.65168381006059</v>
      </c>
      <c r="U160" s="265">
        <f t="shared" si="6"/>
        <v>1.5599880916939565E-4</v>
      </c>
    </row>
    <row r="161" spans="2:21" s="6" customFormat="1" ht="15.6" x14ac:dyDescent="0.3">
      <c r="B161" s="301" t="s">
        <v>260</v>
      </c>
      <c r="C161" s="302" t="s">
        <v>185</v>
      </c>
      <c r="D161" s="332"/>
      <c r="E161" s="332"/>
      <c r="F161" s="332"/>
      <c r="G161" s="332"/>
      <c r="H161" s="332"/>
      <c r="I161" s="332"/>
      <c r="J161" s="332"/>
      <c r="K161" s="332">
        <f>K267/K269</f>
        <v>121.14285714285714</v>
      </c>
      <c r="L161" s="332"/>
      <c r="M161" s="332">
        <f t="shared" ref="M161:T161" si="24">M267/M269</f>
        <v>122.32204561161022</v>
      </c>
      <c r="N161" s="332">
        <f t="shared" si="24"/>
        <v>117.60729976343359</v>
      </c>
      <c r="O161" s="332">
        <f t="shared" si="24"/>
        <v>111.99207135777998</v>
      </c>
      <c r="P161" s="332">
        <f t="shared" si="24"/>
        <v>125.53331145388907</v>
      </c>
      <c r="Q161" s="332">
        <f t="shared" si="24"/>
        <v>124.73153808029076</v>
      </c>
      <c r="R161" s="332">
        <f t="shared" si="24"/>
        <v>125.3315649867374</v>
      </c>
      <c r="S161" s="332">
        <f t="shared" si="24"/>
        <v>121.36981702199094</v>
      </c>
      <c r="T161" s="332">
        <f t="shared" si="24"/>
        <v>125.83444592790387</v>
      </c>
      <c r="U161" s="265">
        <f t="shared" si="6"/>
        <v>731.625</v>
      </c>
    </row>
    <row r="162" spans="2:21" s="6" customFormat="1" ht="15.6" x14ac:dyDescent="0.3">
      <c r="B162" s="298" t="s">
        <v>260</v>
      </c>
      <c r="C162" s="299" t="s">
        <v>242</v>
      </c>
      <c r="D162" s="333"/>
      <c r="E162" s="333"/>
      <c r="F162" s="333"/>
      <c r="G162" s="333"/>
      <c r="H162" s="333"/>
      <c r="I162" s="333"/>
      <c r="J162" s="333"/>
      <c r="K162" s="333">
        <f>K270/K272</f>
        <v>137.5150635744325</v>
      </c>
      <c r="L162" s="333"/>
      <c r="M162" s="333">
        <f t="shared" ref="M162:T162" si="25">M270/M272</f>
        <v>139.60518648018649</v>
      </c>
      <c r="N162" s="333">
        <f t="shared" si="25"/>
        <v>133.27765769306347</v>
      </c>
      <c r="O162" s="333">
        <f t="shared" si="25"/>
        <v>129.47243351829394</v>
      </c>
      <c r="P162" s="333">
        <f t="shared" si="25"/>
        <v>121.64049293186662</v>
      </c>
      <c r="Q162" s="333">
        <f t="shared" si="25"/>
        <v>123.8540023659306</v>
      </c>
      <c r="R162" s="333">
        <f t="shared" si="25"/>
        <v>125.33561142299243</v>
      </c>
      <c r="S162" s="333">
        <f t="shared" si="25"/>
        <v>121.40614117618308</v>
      </c>
      <c r="T162" s="333">
        <f t="shared" si="25"/>
        <v>125.73491106645828</v>
      </c>
      <c r="U162" s="265">
        <f t="shared" si="6"/>
        <v>123.51308120828814</v>
      </c>
    </row>
    <row r="163" spans="2:21" s="6" customFormat="1" ht="15.6" x14ac:dyDescent="0.3">
      <c r="B163" s="301" t="s">
        <v>260</v>
      </c>
      <c r="C163" s="302" t="s">
        <v>187</v>
      </c>
      <c r="D163" s="332"/>
      <c r="E163" s="332"/>
      <c r="F163" s="332"/>
      <c r="G163" s="332"/>
      <c r="H163" s="332"/>
      <c r="I163" s="332"/>
      <c r="J163" s="332"/>
      <c r="K163" s="332">
        <f>K273/K275</f>
        <v>118.72654200019929</v>
      </c>
      <c r="L163" s="332"/>
      <c r="M163" s="332">
        <f t="shared" ref="M163:T163" si="26">M273/M275</f>
        <v>124.91904010628581</v>
      </c>
      <c r="N163" s="332">
        <f t="shared" si="26"/>
        <v>120.40658053231688</v>
      </c>
      <c r="O163" s="332">
        <f t="shared" si="26"/>
        <v>115.05957777489962</v>
      </c>
      <c r="P163" s="332">
        <f t="shared" si="26"/>
        <v>125.61818412376363</v>
      </c>
      <c r="Q163" s="332">
        <f t="shared" si="26"/>
        <v>122.5651364764268</v>
      </c>
      <c r="R163" s="332">
        <f t="shared" si="26"/>
        <v>125.34491337585381</v>
      </c>
      <c r="S163" s="332">
        <f t="shared" si="26"/>
        <v>121.28039050032855</v>
      </c>
      <c r="T163" s="332">
        <f t="shared" si="26"/>
        <v>125.60146758089739</v>
      </c>
      <c r="U163" s="265">
        <f t="shared" si="6"/>
        <v>3.350484623668781E-5</v>
      </c>
    </row>
    <row r="164" spans="2:21" s="6" customFormat="1" ht="15.6" x14ac:dyDescent="0.3">
      <c r="B164" s="298" t="s">
        <v>260</v>
      </c>
      <c r="C164" s="299" t="s">
        <v>188</v>
      </c>
      <c r="D164" s="333"/>
      <c r="E164" s="333"/>
      <c r="F164" s="333"/>
      <c r="G164" s="333"/>
      <c r="H164" s="333"/>
      <c r="I164" s="333"/>
      <c r="J164" s="333"/>
      <c r="K164" s="333">
        <f>K276/K278</f>
        <v>135.21297559496742</v>
      </c>
      <c r="L164" s="333"/>
      <c r="M164" s="333">
        <f t="shared" ref="M164:T164" si="27">M276/M278</f>
        <v>136.95805250980786</v>
      </c>
      <c r="N164" s="333">
        <f t="shared" si="27"/>
        <v>131.53549807374793</v>
      </c>
      <c r="O164" s="333">
        <f t="shared" si="27"/>
        <v>127.37491296130509</v>
      </c>
      <c r="P164" s="333">
        <f t="shared" si="27"/>
        <v>123.51317440401506</v>
      </c>
      <c r="Q164" s="333">
        <f t="shared" si="27"/>
        <v>127.87543947764942</v>
      </c>
      <c r="R164" s="333">
        <f t="shared" si="27"/>
        <v>125.34511319712865</v>
      </c>
      <c r="S164" s="333">
        <f t="shared" si="27"/>
        <v>120.57976973684211</v>
      </c>
      <c r="T164" s="333">
        <f t="shared" si="27"/>
        <v>125.7870916961826</v>
      </c>
      <c r="U164" s="265">
        <f t="shared" si="6"/>
        <v>156.29597701149424</v>
      </c>
    </row>
    <row r="165" spans="2:21" s="6" customFormat="1" ht="15.6" x14ac:dyDescent="0.3">
      <c r="B165" s="301" t="s">
        <v>260</v>
      </c>
      <c r="C165" s="302" t="s">
        <v>243</v>
      </c>
      <c r="D165" s="332"/>
      <c r="E165" s="332"/>
      <c r="F165" s="332"/>
      <c r="G165" s="332"/>
      <c r="H165" s="332"/>
      <c r="I165" s="332"/>
      <c r="J165" s="332"/>
      <c r="K165" s="332">
        <f>K279/K281</f>
        <v>123.61427486712225</v>
      </c>
      <c r="L165" s="332"/>
      <c r="M165" s="332">
        <f t="shared" ref="M165:T165" si="28">M279/M281</f>
        <v>126.19333298554959</v>
      </c>
      <c r="N165" s="332">
        <f t="shared" si="28"/>
        <v>121.10907664138111</v>
      </c>
      <c r="O165" s="332">
        <f t="shared" si="28"/>
        <v>117.84687744969951</v>
      </c>
      <c r="P165" s="332">
        <f t="shared" si="28"/>
        <v>122.85623544357399</v>
      </c>
      <c r="Q165" s="332">
        <f t="shared" si="28"/>
        <v>124.51445835131636</v>
      </c>
      <c r="R165" s="332">
        <f t="shared" si="28"/>
        <v>125.35094962840627</v>
      </c>
      <c r="S165" s="332">
        <f t="shared" si="28"/>
        <v>121.31409342382935</v>
      </c>
      <c r="T165" s="332">
        <f t="shared" si="28"/>
        <v>125.36661107596757</v>
      </c>
      <c r="U165" s="265">
        <f t="shared" si="6"/>
        <v>118.58273973380254</v>
      </c>
    </row>
    <row r="166" spans="2:21" s="6" customFormat="1" ht="15.6" x14ac:dyDescent="0.3">
      <c r="B166" s="298" t="s">
        <v>260</v>
      </c>
      <c r="C166" s="299" t="s">
        <v>244</v>
      </c>
      <c r="D166" s="333"/>
      <c r="E166" s="333"/>
      <c r="F166" s="333"/>
      <c r="G166" s="333"/>
      <c r="H166" s="333"/>
      <c r="I166" s="333"/>
      <c r="J166" s="333"/>
      <c r="K166" s="333">
        <f>K282/K284</f>
        <v>125.04040512875768</v>
      </c>
      <c r="L166" s="333"/>
      <c r="M166" s="333">
        <f t="shared" ref="M166:T166" si="29">M282/M284</f>
        <v>132.97774508000737</v>
      </c>
      <c r="N166" s="333">
        <f t="shared" si="29"/>
        <v>126.84335361451996</v>
      </c>
      <c r="O166" s="333">
        <f t="shared" si="29"/>
        <v>121.27654189760332</v>
      </c>
      <c r="P166" s="333">
        <f t="shared" si="29"/>
        <v>125.09232360037421</v>
      </c>
      <c r="Q166" s="333">
        <f t="shared" si="29"/>
        <v>122.7885580052365</v>
      </c>
      <c r="R166" s="333">
        <f t="shared" si="29"/>
        <v>125.33738191632928</v>
      </c>
      <c r="S166" s="333">
        <f t="shared" si="29"/>
        <v>121.3284461835653</v>
      </c>
      <c r="T166" s="333">
        <f t="shared" si="29"/>
        <v>125.64108738051094</v>
      </c>
      <c r="U166" s="265">
        <f t="shared" si="6"/>
        <v>3.2243120541091448E-5</v>
      </c>
    </row>
    <row r="167" spans="2:21" s="6" customFormat="1" ht="15.6" x14ac:dyDescent="0.3">
      <c r="B167" s="298" t="s">
        <v>260</v>
      </c>
      <c r="C167" s="299" t="s">
        <v>346</v>
      </c>
      <c r="D167" s="333"/>
      <c r="E167" s="333"/>
      <c r="F167" s="333"/>
      <c r="G167" s="333"/>
      <c r="H167" s="333"/>
      <c r="I167" s="333"/>
      <c r="J167" s="333"/>
      <c r="K167" s="333"/>
      <c r="L167" s="333"/>
      <c r="M167" s="333">
        <f t="shared" ref="M167:T167" si="30">M285/M287</f>
        <v>132.0823882511971</v>
      </c>
      <c r="N167" s="333">
        <f t="shared" si="30"/>
        <v>126.77638213991015</v>
      </c>
      <c r="O167" s="333">
        <f t="shared" si="30"/>
        <v>122.63248952831907</v>
      </c>
      <c r="P167" s="333">
        <f t="shared" si="30"/>
        <v>121.33121308496138</v>
      </c>
      <c r="Q167" s="333">
        <f t="shared" si="30"/>
        <v>122.821689306783</v>
      </c>
      <c r="R167" s="333">
        <f t="shared" si="30"/>
        <v>125.34266420022733</v>
      </c>
      <c r="S167" s="333">
        <f t="shared" si="30"/>
        <v>121.36947720471748</v>
      </c>
      <c r="T167" s="333">
        <f t="shared" si="30"/>
        <v>125.67406605305901</v>
      </c>
      <c r="U167" s="265">
        <f t="shared" si="6"/>
        <v>156.60888888888888</v>
      </c>
    </row>
    <row r="168" spans="2:21" s="6" customFormat="1" ht="15.6" x14ac:dyDescent="0.3">
      <c r="B168" s="301" t="s">
        <v>260</v>
      </c>
      <c r="C168" s="302" t="s">
        <v>191</v>
      </c>
      <c r="D168" s="332"/>
      <c r="E168" s="332"/>
      <c r="F168" s="332"/>
      <c r="G168" s="332"/>
      <c r="H168" s="332"/>
      <c r="I168" s="332"/>
      <c r="J168" s="332"/>
      <c r="K168" s="332">
        <f>K288/K290</f>
        <v>133.99790136411332</v>
      </c>
      <c r="L168" s="332"/>
      <c r="M168" s="332">
        <f t="shared" ref="M168:T168" si="31">M288/M290</f>
        <v>141.54514862591139</v>
      </c>
      <c r="N168" s="332">
        <f t="shared" si="31"/>
        <v>136.23644630989855</v>
      </c>
      <c r="O168" s="332">
        <f t="shared" si="31"/>
        <v>131.19856144961616</v>
      </c>
      <c r="P168" s="332">
        <f t="shared" si="31"/>
        <v>125.83281818806236</v>
      </c>
      <c r="Q168" s="332">
        <f t="shared" si="31"/>
        <v>124.029142896419</v>
      </c>
      <c r="R168" s="332">
        <f t="shared" si="31"/>
        <v>125.33802055164954</v>
      </c>
      <c r="S168" s="332">
        <f t="shared" si="31"/>
        <v>121.32844363711142</v>
      </c>
      <c r="T168" s="332">
        <f t="shared" si="31"/>
        <v>125.63690455835585</v>
      </c>
      <c r="U168" s="265">
        <f t="shared" si="6"/>
        <v>121.45252402493642</v>
      </c>
    </row>
    <row r="169" spans="2:21" s="6" customFormat="1" ht="15.6" x14ac:dyDescent="0.3">
      <c r="B169" s="246" t="s">
        <v>260</v>
      </c>
      <c r="C169" s="259" t="s">
        <v>245</v>
      </c>
      <c r="D169" s="334"/>
      <c r="E169" s="334"/>
      <c r="F169" s="334"/>
      <c r="G169" s="334"/>
      <c r="H169" s="334"/>
      <c r="I169" s="334"/>
      <c r="J169" s="334"/>
      <c r="K169" s="334">
        <f>K291/K293</f>
        <v>128.09518200023561</v>
      </c>
      <c r="L169" s="334"/>
      <c r="M169" s="334">
        <f t="shared" ref="M169:T169" si="32">M291/M293</f>
        <v>132.45893620111133</v>
      </c>
      <c r="N169" s="334">
        <f t="shared" si="32"/>
        <v>126.84304650502352</v>
      </c>
      <c r="O169" s="334">
        <f t="shared" si="32"/>
        <v>123.03564877094288</v>
      </c>
      <c r="P169" s="334">
        <f t="shared" si="32"/>
        <v>121.19753708881453</v>
      </c>
      <c r="Q169" s="334">
        <f t="shared" si="32"/>
        <v>123.87459196842025</v>
      </c>
      <c r="R169" s="334">
        <f t="shared" si="32"/>
        <v>125.33953627973287</v>
      </c>
      <c r="S169" s="334">
        <f t="shared" si="32"/>
        <v>121.38207536545262</v>
      </c>
      <c r="T169" s="334">
        <f t="shared" si="32"/>
        <v>125.59041710469816</v>
      </c>
      <c r="U169" s="265">
        <f t="shared" si="6"/>
        <v>6.1266167460857727E-5</v>
      </c>
    </row>
    <row r="170" spans="2:21" s="6" customFormat="1" ht="15.6" x14ac:dyDescent="0.3">
      <c r="B170" s="310" t="s">
        <v>260</v>
      </c>
      <c r="C170" s="311" t="s">
        <v>214</v>
      </c>
      <c r="D170" s="335"/>
      <c r="E170" s="335"/>
      <c r="F170" s="335"/>
      <c r="G170" s="335"/>
      <c r="H170" s="335"/>
      <c r="I170" s="336"/>
      <c r="J170" s="336">
        <f>J196/J294</f>
        <v>127.78922890578238</v>
      </c>
      <c r="K170" s="336">
        <f>K196/K294</f>
        <v>128.02653236965341</v>
      </c>
      <c r="L170" s="336"/>
      <c r="M170" s="336">
        <f t="shared" ref="M170:T170" si="33">M196/M294</f>
        <v>131.82768985768678</v>
      </c>
      <c r="N170" s="336">
        <f t="shared" si="33"/>
        <v>127.32700332562757</v>
      </c>
      <c r="O170" s="336">
        <f t="shared" si="33"/>
        <v>123.1051514523112</v>
      </c>
      <c r="P170" s="336">
        <f t="shared" si="33"/>
        <v>121.04156646504531</v>
      </c>
      <c r="Q170" s="336">
        <f t="shared" si="33"/>
        <v>122.43052748151987</v>
      </c>
      <c r="R170" s="336">
        <f t="shared" si="33"/>
        <v>125.29137594568439</v>
      </c>
      <c r="S170" s="336">
        <f t="shared" si="33"/>
        <v>127.06930765807208</v>
      </c>
      <c r="T170" s="336">
        <f t="shared" si="33"/>
        <v>125.66450077858309</v>
      </c>
      <c r="U170" s="336">
        <f>U240/U242</f>
        <v>116.26802589713959</v>
      </c>
    </row>
    <row r="171" spans="2:21" s="6" customFormat="1" ht="15.6" x14ac:dyDescent="0.3">
      <c r="B171" s="674" t="s">
        <v>11</v>
      </c>
      <c r="C171" s="675"/>
      <c r="D171" s="337"/>
      <c r="E171" s="337"/>
      <c r="F171" s="337"/>
      <c r="G171" s="337"/>
      <c r="H171" s="337"/>
      <c r="I171" s="338"/>
      <c r="J171" s="338"/>
      <c r="K171" s="338"/>
      <c r="L171" s="338"/>
      <c r="M171" s="338"/>
      <c r="N171" s="338"/>
      <c r="O171" s="338"/>
      <c r="P171" s="338"/>
      <c r="Q171" s="338"/>
      <c r="R171" s="338"/>
      <c r="S171" s="338"/>
      <c r="T171" s="338"/>
      <c r="U171" s="429"/>
    </row>
    <row r="172" spans="2:21" s="6" customFormat="1" ht="15.6" x14ac:dyDescent="0.3">
      <c r="B172" s="674" t="s">
        <v>12</v>
      </c>
      <c r="C172" s="675"/>
      <c r="D172" s="337"/>
      <c r="E172" s="337"/>
      <c r="F172" s="337"/>
      <c r="G172" s="337"/>
      <c r="H172" s="337"/>
      <c r="I172" s="338"/>
      <c r="J172" s="338"/>
      <c r="K172" s="338"/>
      <c r="L172" s="338"/>
      <c r="M172" s="338"/>
      <c r="N172" s="338"/>
      <c r="O172" s="338"/>
      <c r="P172" s="338"/>
      <c r="Q172" s="338"/>
      <c r="R172" s="338"/>
      <c r="S172" s="338"/>
      <c r="T172" s="338"/>
      <c r="U172" s="429"/>
    </row>
    <row r="173" spans="2:21" s="6" customFormat="1" ht="15.6" x14ac:dyDescent="0.3">
      <c r="B173" s="674" t="s">
        <v>13</v>
      </c>
      <c r="C173" s="675"/>
      <c r="D173" s="337"/>
      <c r="E173" s="337"/>
      <c r="F173" s="337"/>
      <c r="G173" s="337"/>
      <c r="H173" s="337"/>
      <c r="I173" s="338"/>
      <c r="J173" s="338"/>
      <c r="K173" s="338"/>
      <c r="L173" s="338"/>
      <c r="M173" s="338"/>
      <c r="N173" s="338"/>
      <c r="O173" s="338"/>
      <c r="P173" s="338"/>
      <c r="Q173" s="338"/>
      <c r="R173" s="338"/>
      <c r="S173" s="338"/>
      <c r="T173" s="338"/>
      <c r="U173" s="429"/>
    </row>
    <row r="174" spans="2:21" s="6" customFormat="1" ht="15.6" x14ac:dyDescent="0.3">
      <c r="B174" s="674" t="s">
        <v>14</v>
      </c>
      <c r="C174" s="675"/>
      <c r="D174" s="337"/>
      <c r="E174" s="337"/>
      <c r="F174" s="337"/>
      <c r="G174" s="337"/>
      <c r="H174" s="337"/>
      <c r="I174" s="338"/>
      <c r="J174" s="338"/>
      <c r="K174" s="338"/>
      <c r="L174" s="338"/>
      <c r="M174" s="338"/>
      <c r="N174" s="338"/>
      <c r="O174" s="338"/>
      <c r="P174" s="338"/>
      <c r="Q174" s="338"/>
      <c r="R174" s="338"/>
      <c r="S174" s="338"/>
      <c r="T174" s="338"/>
      <c r="U174" s="429"/>
    </row>
    <row r="175" spans="2:21" s="6" customFormat="1" ht="15.6" x14ac:dyDescent="0.3">
      <c r="B175" s="674" t="s">
        <v>15</v>
      </c>
      <c r="C175" s="675"/>
      <c r="D175" s="337"/>
      <c r="E175" s="337"/>
      <c r="F175" s="337"/>
      <c r="G175" s="337"/>
      <c r="H175" s="337"/>
      <c r="I175" s="338"/>
      <c r="J175" s="338"/>
      <c r="K175" s="338"/>
      <c r="L175" s="338"/>
      <c r="M175" s="338"/>
      <c r="N175" s="338"/>
      <c r="O175" s="338"/>
      <c r="P175" s="338"/>
      <c r="Q175" s="338"/>
      <c r="R175" s="338"/>
      <c r="S175" s="338"/>
      <c r="T175" s="338"/>
      <c r="U175" s="429"/>
    </row>
    <row r="176" spans="2:21" s="6" customFormat="1" ht="15.6" x14ac:dyDescent="0.3">
      <c r="B176" s="339"/>
      <c r="C176" s="340"/>
      <c r="D176" s="341"/>
      <c r="E176" s="341"/>
      <c r="F176" s="341"/>
      <c r="G176" s="341"/>
      <c r="H176" s="341"/>
      <c r="I176" s="342"/>
      <c r="J176" s="651">
        <v>2006</v>
      </c>
      <c r="K176" s="651">
        <v>2007</v>
      </c>
      <c r="L176" s="651">
        <v>2008</v>
      </c>
      <c r="M176" s="651">
        <v>2009</v>
      </c>
      <c r="N176" s="651">
        <v>2010</v>
      </c>
      <c r="O176" s="651">
        <v>2011</v>
      </c>
      <c r="P176" s="651">
        <v>2012</v>
      </c>
      <c r="Q176" s="651">
        <v>2013</v>
      </c>
      <c r="R176" s="651">
        <v>2014</v>
      </c>
      <c r="S176" s="651">
        <v>2015</v>
      </c>
      <c r="T176" s="651">
        <v>2016</v>
      </c>
      <c r="U176" s="651">
        <v>2017</v>
      </c>
    </row>
    <row r="177" spans="2:21" s="6" customFormat="1" ht="15.6" x14ac:dyDescent="0.3">
      <c r="B177" s="648" t="s">
        <v>541</v>
      </c>
      <c r="C177" s="649"/>
      <c r="D177" s="650"/>
      <c r="E177" s="650"/>
      <c r="F177" s="650"/>
      <c r="G177" s="650"/>
      <c r="H177" s="650"/>
      <c r="I177" s="650"/>
      <c r="J177" s="12"/>
      <c r="K177" s="12"/>
      <c r="L177" s="12"/>
      <c r="M177" s="12"/>
      <c r="N177" s="12"/>
      <c r="O177" s="12"/>
      <c r="P177" s="12"/>
      <c r="Q177" s="12"/>
      <c r="R177" s="12"/>
      <c r="S177" s="12"/>
      <c r="T177" s="12"/>
      <c r="U177" s="12"/>
    </row>
    <row r="178" spans="2:21" s="6" customFormat="1" ht="15.6" x14ac:dyDescent="0.3">
      <c r="B178" s="250" t="s">
        <v>542</v>
      </c>
      <c r="C178" s="318"/>
      <c r="D178" s="264"/>
      <c r="E178" s="264"/>
      <c r="F178" s="264"/>
      <c r="G178" s="264"/>
      <c r="H178" s="264"/>
      <c r="I178" s="264"/>
      <c r="J178" s="243">
        <v>170</v>
      </c>
      <c r="K178" s="243">
        <v>170</v>
      </c>
      <c r="L178" s="243">
        <v>170</v>
      </c>
      <c r="M178" s="243">
        <v>170</v>
      </c>
      <c r="N178" s="243">
        <v>177</v>
      </c>
      <c r="O178" s="243">
        <v>178</v>
      </c>
      <c r="P178" s="243">
        <v>213</v>
      </c>
      <c r="Q178" s="243">
        <v>65</v>
      </c>
      <c r="R178" s="243">
        <v>71</v>
      </c>
      <c r="S178" s="243">
        <v>72</v>
      </c>
      <c r="T178" s="243">
        <v>72</v>
      </c>
      <c r="U178" s="243">
        <v>71</v>
      </c>
    </row>
    <row r="179" spans="2:21" s="6" customFormat="1" ht="15.6" x14ac:dyDescent="0.3">
      <c r="B179" s="250" t="s">
        <v>543</v>
      </c>
      <c r="C179" s="326"/>
      <c r="D179" s="264"/>
      <c r="E179" s="264"/>
      <c r="F179" s="264"/>
      <c r="G179" s="264"/>
      <c r="H179" s="264"/>
      <c r="I179" s="264"/>
      <c r="J179" s="243">
        <v>592</v>
      </c>
      <c r="K179" s="243">
        <v>631</v>
      </c>
      <c r="L179" s="243">
        <v>654</v>
      </c>
      <c r="M179" s="243">
        <v>676</v>
      </c>
      <c r="N179" s="243">
        <v>655</v>
      </c>
      <c r="O179" s="243">
        <v>658</v>
      </c>
      <c r="P179" s="243">
        <v>659</v>
      </c>
      <c r="Q179" s="243">
        <v>646</v>
      </c>
      <c r="R179" s="243">
        <v>648</v>
      </c>
      <c r="S179" s="243">
        <v>656</v>
      </c>
      <c r="T179" s="243">
        <v>649</v>
      </c>
      <c r="U179" s="243">
        <v>653</v>
      </c>
    </row>
    <row r="180" spans="2:21" s="6" customFormat="1" ht="15.6" x14ac:dyDescent="0.3">
      <c r="B180" s="250" t="s">
        <v>544</v>
      </c>
      <c r="C180" s="326"/>
      <c r="D180" s="264"/>
      <c r="E180" s="264"/>
      <c r="F180" s="264"/>
      <c r="G180" s="264"/>
      <c r="H180" s="264"/>
      <c r="I180" s="264"/>
      <c r="J180" s="243">
        <v>208</v>
      </c>
      <c r="K180" s="243">
        <v>201</v>
      </c>
      <c r="L180" s="243">
        <v>199</v>
      </c>
      <c r="M180" s="243">
        <v>197</v>
      </c>
      <c r="N180" s="243">
        <v>197</v>
      </c>
      <c r="O180" s="243">
        <v>210</v>
      </c>
      <c r="P180" s="243">
        <v>210</v>
      </c>
      <c r="Q180" s="243">
        <v>197</v>
      </c>
      <c r="R180" s="243">
        <v>195</v>
      </c>
      <c r="S180" s="243">
        <v>196</v>
      </c>
      <c r="T180" s="243">
        <v>200</v>
      </c>
      <c r="U180" s="243">
        <v>200</v>
      </c>
    </row>
    <row r="181" spans="2:21" s="6" customFormat="1" ht="15.6" x14ac:dyDescent="0.3">
      <c r="B181" s="251" t="s">
        <v>545</v>
      </c>
      <c r="C181" s="343"/>
      <c r="D181" s="269"/>
      <c r="E181" s="269"/>
      <c r="F181" s="269"/>
      <c r="G181" s="269"/>
      <c r="H181" s="269"/>
      <c r="I181" s="269"/>
      <c r="J181" s="268">
        <v>230</v>
      </c>
      <c r="K181" s="268">
        <v>230</v>
      </c>
      <c r="L181" s="268">
        <v>228</v>
      </c>
      <c r="M181" s="268">
        <v>227</v>
      </c>
      <c r="N181" s="268">
        <v>229</v>
      </c>
      <c r="O181" s="268">
        <v>231</v>
      </c>
      <c r="P181" s="268"/>
      <c r="Q181" s="268">
        <v>222</v>
      </c>
      <c r="R181" s="268">
        <v>221</v>
      </c>
      <c r="S181" s="268">
        <v>220</v>
      </c>
      <c r="T181" s="268">
        <v>219</v>
      </c>
      <c r="U181" s="268">
        <v>222</v>
      </c>
    </row>
    <row r="182" spans="2:21" s="6" customFormat="1" ht="15.6" x14ac:dyDescent="0.3">
      <c r="B182" s="344" t="s">
        <v>546</v>
      </c>
      <c r="C182" s="345"/>
      <c r="D182" s="346"/>
      <c r="E182" s="346"/>
      <c r="F182" s="346"/>
      <c r="G182" s="346"/>
      <c r="H182" s="346"/>
      <c r="I182" s="346"/>
      <c r="J182" s="647">
        <f t="shared" ref="J182:O182" si="34">SUM(J178:J181)</f>
        <v>1200</v>
      </c>
      <c r="K182" s="647">
        <f t="shared" si="34"/>
        <v>1232</v>
      </c>
      <c r="L182" s="647">
        <f t="shared" si="34"/>
        <v>1251</v>
      </c>
      <c r="M182" s="647">
        <f t="shared" si="34"/>
        <v>1270</v>
      </c>
      <c r="N182" s="647">
        <f t="shared" si="34"/>
        <v>1258</v>
      </c>
      <c r="O182" s="647">
        <f t="shared" si="34"/>
        <v>1277</v>
      </c>
      <c r="P182" s="647">
        <f t="shared" ref="P182:U182" si="35">SUM(P178:P181)</f>
        <v>1082</v>
      </c>
      <c r="Q182" s="647">
        <f t="shared" si="35"/>
        <v>1130</v>
      </c>
      <c r="R182" s="647">
        <f t="shared" si="35"/>
        <v>1135</v>
      </c>
      <c r="S182" s="647">
        <f t="shared" si="35"/>
        <v>1144</v>
      </c>
      <c r="T182" s="647">
        <f t="shared" si="35"/>
        <v>1140</v>
      </c>
      <c r="U182" s="647">
        <f t="shared" si="35"/>
        <v>1146</v>
      </c>
    </row>
    <row r="183" spans="2:21" s="6" customFormat="1" ht="15.6" x14ac:dyDescent="0.3">
      <c r="B183" s="264"/>
      <c r="C183" s="326"/>
      <c r="D183" s="264"/>
      <c r="E183" s="264"/>
      <c r="F183" s="264"/>
      <c r="G183" s="264"/>
      <c r="H183" s="264"/>
      <c r="I183" s="264"/>
      <c r="J183" s="264"/>
      <c r="K183" s="264"/>
      <c r="L183" s="264"/>
      <c r="M183" s="264"/>
      <c r="N183" s="264"/>
      <c r="O183" s="264"/>
      <c r="P183" s="264"/>
      <c r="Q183" s="264"/>
      <c r="R183" s="264"/>
      <c r="S183" s="264"/>
      <c r="T183" s="264"/>
      <c r="U183" s="429"/>
    </row>
    <row r="184" spans="2:21" s="219" customFormat="1" ht="15.6" x14ac:dyDescent="0.3">
      <c r="B184" s="297" t="s">
        <v>9</v>
      </c>
      <c r="C184" s="347"/>
      <c r="D184" s="258"/>
      <c r="E184" s="258"/>
      <c r="F184" s="258"/>
      <c r="G184" s="258"/>
      <c r="H184" s="258"/>
      <c r="I184" s="258"/>
      <c r="J184" s="258"/>
      <c r="K184" s="258"/>
      <c r="L184" s="258"/>
      <c r="M184" s="258"/>
      <c r="N184" s="258"/>
      <c r="O184" s="258"/>
      <c r="P184" s="258"/>
      <c r="Q184" s="258"/>
      <c r="R184" s="258"/>
      <c r="S184" s="258"/>
      <c r="T184" s="258"/>
      <c r="U184" s="12"/>
    </row>
    <row r="185" spans="2:21" s="6" customFormat="1" ht="15.6" x14ac:dyDescent="0.3">
      <c r="B185" s="674" t="s">
        <v>254</v>
      </c>
      <c r="C185" s="675"/>
      <c r="D185" s="264"/>
      <c r="E185" s="264"/>
      <c r="F185" s="264"/>
      <c r="G185" s="264"/>
      <c r="H185" s="264"/>
      <c r="I185" s="264"/>
      <c r="J185" s="264"/>
      <c r="K185" s="314">
        <v>12609738</v>
      </c>
      <c r="L185" s="314">
        <v>13071881</v>
      </c>
      <c r="M185" s="316">
        <v>12003619</v>
      </c>
      <c r="N185" s="314"/>
      <c r="O185" s="316"/>
      <c r="P185" s="314"/>
      <c r="Q185" s="316"/>
      <c r="R185" s="314"/>
      <c r="S185" s="316"/>
      <c r="T185" s="314"/>
      <c r="U185" s="429"/>
    </row>
    <row r="186" spans="2:21" s="6" customFormat="1" ht="15.6" x14ac:dyDescent="0.3">
      <c r="B186" s="674" t="s">
        <v>255</v>
      </c>
      <c r="C186" s="675"/>
      <c r="D186" s="264"/>
      <c r="E186" s="264"/>
      <c r="F186" s="264"/>
      <c r="G186" s="264"/>
      <c r="H186" s="264"/>
      <c r="I186" s="264"/>
      <c r="J186" s="264"/>
      <c r="K186" s="314">
        <v>10924967</v>
      </c>
      <c r="L186" s="314">
        <v>13366637</v>
      </c>
      <c r="M186" s="316">
        <v>15065398</v>
      </c>
      <c r="N186" s="314"/>
      <c r="O186" s="316"/>
      <c r="P186" s="314"/>
      <c r="Q186" s="316"/>
      <c r="R186" s="314"/>
      <c r="S186" s="316"/>
      <c r="T186" s="314"/>
      <c r="U186" s="429"/>
    </row>
    <row r="187" spans="2:21" s="6" customFormat="1" ht="15.6" x14ac:dyDescent="0.3">
      <c r="B187" s="674" t="s">
        <v>256</v>
      </c>
      <c r="C187" s="675"/>
      <c r="D187" s="264"/>
      <c r="E187" s="264"/>
      <c r="F187" s="264"/>
      <c r="G187" s="264"/>
      <c r="H187" s="264"/>
      <c r="I187" s="264"/>
      <c r="J187" s="264"/>
      <c r="K187" s="314">
        <f>K185-K186</f>
        <v>1684771</v>
      </c>
      <c r="L187" s="314">
        <f>L185-L186</f>
        <v>-294756</v>
      </c>
      <c r="M187" s="316">
        <f>M185-M186</f>
        <v>-3061779</v>
      </c>
      <c r="N187" s="314"/>
      <c r="O187" s="316"/>
      <c r="P187" s="314"/>
      <c r="Q187" s="316"/>
      <c r="R187" s="314"/>
      <c r="S187" s="316"/>
      <c r="T187" s="314"/>
      <c r="U187" s="429"/>
    </row>
    <row r="188" spans="2:21" s="6" customFormat="1" ht="15.6" x14ac:dyDescent="0.3">
      <c r="B188" s="672" t="s">
        <v>257</v>
      </c>
      <c r="C188" s="673"/>
      <c r="D188" s="348"/>
      <c r="E188" s="348"/>
      <c r="F188" s="348"/>
      <c r="G188" s="348"/>
      <c r="H188" s="348"/>
      <c r="I188" s="348"/>
      <c r="J188" s="348"/>
      <c r="K188" s="348"/>
      <c r="L188" s="348"/>
      <c r="M188" s="348"/>
      <c r="N188" s="348"/>
      <c r="O188" s="348"/>
      <c r="P188" s="348"/>
      <c r="Q188" s="348"/>
      <c r="R188" s="348"/>
      <c r="S188" s="348"/>
      <c r="T188" s="348"/>
      <c r="U188" s="429"/>
    </row>
    <row r="189" spans="2:21" s="6" customFormat="1" ht="15.6" x14ac:dyDescent="0.3">
      <c r="B189" s="672" t="s">
        <v>252</v>
      </c>
      <c r="C189" s="673"/>
      <c r="D189" s="348"/>
      <c r="E189" s="348"/>
      <c r="F189" s="348"/>
      <c r="G189" s="348"/>
      <c r="H189" s="348"/>
      <c r="I189" s="348"/>
      <c r="J189" s="348"/>
      <c r="K189" s="348"/>
      <c r="L189" s="348"/>
      <c r="M189" s="348"/>
      <c r="N189" s="348"/>
      <c r="O189" s="348"/>
      <c r="P189" s="348"/>
      <c r="Q189" s="348"/>
      <c r="R189" s="348"/>
      <c r="S189" s="348"/>
      <c r="T189" s="348"/>
      <c r="U189" s="429"/>
    </row>
    <row r="190" spans="2:21" s="6" customFormat="1" ht="15.6" x14ac:dyDescent="0.3">
      <c r="B190" s="672" t="s">
        <v>253</v>
      </c>
      <c r="C190" s="673"/>
      <c r="D190" s="348"/>
      <c r="E190" s="348"/>
      <c r="F190" s="348"/>
      <c r="G190" s="348"/>
      <c r="H190" s="348"/>
      <c r="I190" s="348"/>
      <c r="J190" s="348"/>
      <c r="K190" s="348"/>
      <c r="L190" s="348"/>
      <c r="M190" s="348"/>
      <c r="N190" s="348"/>
      <c r="O190" s="348"/>
      <c r="P190" s="348"/>
      <c r="Q190" s="348"/>
      <c r="R190" s="348"/>
      <c r="S190" s="348"/>
      <c r="T190" s="348"/>
      <c r="U190" s="429"/>
    </row>
    <row r="191" spans="2:21" s="6" customFormat="1" ht="15.6" x14ac:dyDescent="0.3">
      <c r="B191" s="674" t="s">
        <v>2</v>
      </c>
      <c r="C191" s="675"/>
      <c r="D191" s="314">
        <v>57508800</v>
      </c>
      <c r="E191" s="314">
        <v>56590719</v>
      </c>
      <c r="F191" s="314">
        <v>56289693</v>
      </c>
      <c r="G191" s="314">
        <v>69867940</v>
      </c>
      <c r="H191" s="314">
        <v>70747055</v>
      </c>
      <c r="I191" s="314">
        <v>58479727</v>
      </c>
      <c r="J191" s="314">
        <f>41025962+14387419+4235931</f>
        <v>59649312</v>
      </c>
      <c r="K191" s="314">
        <v>60101182</v>
      </c>
      <c r="L191" s="264"/>
      <c r="M191" s="316">
        <v>62824381</v>
      </c>
      <c r="N191" s="316">
        <v>60475190</v>
      </c>
      <c r="O191" s="316">
        <v>59709307</v>
      </c>
      <c r="P191" s="316">
        <v>59709307</v>
      </c>
      <c r="Q191" s="316">
        <v>60614118</v>
      </c>
      <c r="R191" s="316">
        <v>62324209</v>
      </c>
      <c r="S191" s="316">
        <v>63102502</v>
      </c>
      <c r="T191" s="316">
        <v>66693087</v>
      </c>
      <c r="U191" s="316">
        <v>63593955</v>
      </c>
    </row>
    <row r="192" spans="2:21" s="6" customFormat="1" ht="15.6" x14ac:dyDescent="0.3">
      <c r="B192" s="674" t="s">
        <v>3</v>
      </c>
      <c r="C192" s="675"/>
      <c r="D192" s="314">
        <v>53858938</v>
      </c>
      <c r="E192" s="314">
        <v>52802276</v>
      </c>
      <c r="F192" s="314">
        <v>53752752</v>
      </c>
      <c r="G192" s="314">
        <v>65319166</v>
      </c>
      <c r="H192" s="314">
        <v>64154445</v>
      </c>
      <c r="I192" s="314">
        <v>54253837</v>
      </c>
      <c r="J192" s="314">
        <f>36611432+13345951+4270998</f>
        <v>54228381</v>
      </c>
      <c r="K192" s="314">
        <v>55172432</v>
      </c>
      <c r="L192" s="264"/>
      <c r="M192" s="316">
        <v>58873245</v>
      </c>
      <c r="N192" s="316">
        <v>56863271</v>
      </c>
      <c r="O192" s="316">
        <v>56863271</v>
      </c>
      <c r="P192" s="316">
        <v>56863271</v>
      </c>
      <c r="Q192" s="316">
        <v>56105320</v>
      </c>
      <c r="R192" s="316">
        <v>58047570</v>
      </c>
      <c r="S192" s="316">
        <v>59502982</v>
      </c>
      <c r="T192" s="316">
        <v>59712594</v>
      </c>
      <c r="U192" s="316">
        <v>60420662</v>
      </c>
    </row>
    <row r="193" spans="2:21" s="6" customFormat="1" ht="15.6" x14ac:dyDescent="0.3">
      <c r="B193" s="674" t="s">
        <v>6</v>
      </c>
      <c r="C193" s="675"/>
      <c r="D193" s="314">
        <f>D191-D192</f>
        <v>3649862</v>
      </c>
      <c r="E193" s="314">
        <f t="shared" ref="E193:U193" si="36">E191-E192</f>
        <v>3788443</v>
      </c>
      <c r="F193" s="314">
        <f t="shared" si="36"/>
        <v>2536941</v>
      </c>
      <c r="G193" s="314">
        <f t="shared" si="36"/>
        <v>4548774</v>
      </c>
      <c r="H193" s="314">
        <f t="shared" si="36"/>
        <v>6592610</v>
      </c>
      <c r="I193" s="314">
        <f t="shared" si="36"/>
        <v>4225890</v>
      </c>
      <c r="J193" s="314">
        <f t="shared" si="36"/>
        <v>5420931</v>
      </c>
      <c r="K193" s="314">
        <f t="shared" si="36"/>
        <v>4928750</v>
      </c>
      <c r="L193" s="314"/>
      <c r="M193" s="314">
        <f t="shared" si="36"/>
        <v>3951136</v>
      </c>
      <c r="N193" s="314">
        <f t="shared" si="36"/>
        <v>3611919</v>
      </c>
      <c r="O193" s="314">
        <f t="shared" si="36"/>
        <v>2846036</v>
      </c>
      <c r="P193" s="314">
        <f t="shared" si="36"/>
        <v>2846036</v>
      </c>
      <c r="Q193" s="314">
        <f t="shared" si="36"/>
        <v>4508798</v>
      </c>
      <c r="R193" s="314">
        <f t="shared" si="36"/>
        <v>4276639</v>
      </c>
      <c r="S193" s="314">
        <f t="shared" si="36"/>
        <v>3599520</v>
      </c>
      <c r="T193" s="314">
        <f t="shared" si="36"/>
        <v>6980493</v>
      </c>
      <c r="U193" s="314">
        <f t="shared" si="36"/>
        <v>3173293</v>
      </c>
    </row>
    <row r="194" spans="2:21" s="219" customFormat="1" ht="15.6" x14ac:dyDescent="0.3">
      <c r="B194" s="297" t="s">
        <v>8</v>
      </c>
      <c r="C194" s="297"/>
      <c r="D194" s="258"/>
      <c r="E194" s="258"/>
      <c r="F194" s="258"/>
      <c r="G194" s="258"/>
      <c r="H194" s="258"/>
      <c r="I194" s="258"/>
      <c r="J194" s="258"/>
      <c r="K194" s="258"/>
      <c r="L194" s="258"/>
      <c r="M194" s="258"/>
      <c r="N194" s="258"/>
      <c r="O194" s="258"/>
      <c r="P194" s="258"/>
      <c r="Q194" s="258"/>
      <c r="R194" s="258"/>
      <c r="S194" s="258"/>
      <c r="T194" s="258"/>
      <c r="U194" s="258"/>
    </row>
    <row r="195" spans="2:21" s="6" customFormat="1" ht="15.6" x14ac:dyDescent="0.3">
      <c r="B195" s="674" t="s">
        <v>4</v>
      </c>
      <c r="C195" s="675"/>
      <c r="D195" s="264"/>
      <c r="E195" s="289">
        <v>565907184</v>
      </c>
      <c r="F195" s="289">
        <v>562896936</v>
      </c>
      <c r="G195" s="289">
        <v>582232836</v>
      </c>
      <c r="H195" s="289">
        <v>589558800</v>
      </c>
      <c r="I195" s="289">
        <v>584797272</v>
      </c>
      <c r="J195" s="289">
        <f>(34188302+11989516+3529943)*12</f>
        <v>596493132</v>
      </c>
      <c r="K195" s="289">
        <f>50084485*12</f>
        <v>601013820</v>
      </c>
      <c r="L195" s="289"/>
      <c r="M195" s="289">
        <f>52353650*12</f>
        <v>628243800</v>
      </c>
      <c r="N195" s="289">
        <f>50395993*12</f>
        <v>604751916</v>
      </c>
      <c r="O195" s="289">
        <f>49757756*12</f>
        <v>597093072</v>
      </c>
      <c r="P195" s="289">
        <f>49357508*12</f>
        <v>592290096</v>
      </c>
      <c r="Q195" s="289">
        <f>50511765*12</f>
        <v>606141180</v>
      </c>
      <c r="R195" s="289">
        <v>623000000</v>
      </c>
      <c r="S195" s="289">
        <v>645000000</v>
      </c>
      <c r="T195" s="289">
        <v>659064012</v>
      </c>
      <c r="U195" s="272">
        <v>699700000</v>
      </c>
    </row>
    <row r="196" spans="2:21" s="6" customFormat="1" ht="15.6" x14ac:dyDescent="0.3">
      <c r="B196" s="674" t="s">
        <v>5</v>
      </c>
      <c r="C196" s="675"/>
      <c r="D196" s="264"/>
      <c r="E196" s="289">
        <v>528022764</v>
      </c>
      <c r="F196" s="289">
        <v>537527520</v>
      </c>
      <c r="G196" s="289">
        <v>544330980</v>
      </c>
      <c r="H196" s="289">
        <v>534620376</v>
      </c>
      <c r="I196" s="289">
        <v>542538372</v>
      </c>
      <c r="J196" s="289">
        <f>(30509527+11121626+3559165)*12</f>
        <v>542283816</v>
      </c>
      <c r="K196" s="289">
        <f>45977027*12</f>
        <v>551724324</v>
      </c>
      <c r="L196" s="289"/>
      <c r="M196" s="289">
        <f>49061037*12</f>
        <v>588732444</v>
      </c>
      <c r="N196" s="289">
        <f>47386060*12</f>
        <v>568632720</v>
      </c>
      <c r="O196" s="289">
        <f>46155599*12</f>
        <v>553867188</v>
      </c>
      <c r="P196" s="289">
        <f>45819357*12</f>
        <v>549832284</v>
      </c>
      <c r="Q196" s="289">
        <f>46754433*12</f>
        <v>561053196</v>
      </c>
      <c r="R196" s="289">
        <v>580262200</v>
      </c>
      <c r="S196" s="289">
        <v>595000000</v>
      </c>
      <c r="T196" s="289">
        <v>597024252</v>
      </c>
      <c r="U196" s="289">
        <v>608395000</v>
      </c>
    </row>
    <row r="197" spans="2:21" s="6" customFormat="1" ht="15.6" x14ac:dyDescent="0.3">
      <c r="B197" s="482" t="s">
        <v>662</v>
      </c>
      <c r="C197" s="423"/>
      <c r="D197" s="264"/>
      <c r="E197" s="289">
        <f>E196/E195*100</f>
        <v>93.30554177944488</v>
      </c>
      <c r="F197" s="289">
        <f t="shared" ref="F197:M197" si="37">F196/F195*100</f>
        <v>95.493061983908191</v>
      </c>
      <c r="G197" s="289">
        <f t="shared" si="37"/>
        <v>93.490257907748784</v>
      </c>
      <c r="H197" s="289">
        <f t="shared" si="37"/>
        <v>90.681434320037297</v>
      </c>
      <c r="I197" s="289">
        <f t="shared" si="37"/>
        <v>92.773752200403564</v>
      </c>
      <c r="J197" s="289">
        <f t="shared" si="37"/>
        <v>90.91199661960232</v>
      </c>
      <c r="K197" s="289">
        <f t="shared" si="37"/>
        <v>91.798941328836676</v>
      </c>
      <c r="L197" s="289"/>
      <c r="M197" s="289">
        <f t="shared" si="37"/>
        <v>93.710824364681358</v>
      </c>
      <c r="N197" s="289">
        <f t="shared" ref="N197:T197" si="38">N196/N195*100</f>
        <v>94.02743587173687</v>
      </c>
      <c r="O197" s="289">
        <f t="shared" si="38"/>
        <v>92.760612034031439</v>
      </c>
      <c r="P197" s="289">
        <f t="shared" si="38"/>
        <v>92.831585014381204</v>
      </c>
      <c r="Q197" s="289">
        <f t="shared" si="38"/>
        <v>92.561471570039174</v>
      </c>
      <c r="R197" s="289">
        <f t="shared" si="38"/>
        <v>93.14</v>
      </c>
      <c r="S197" s="484">
        <f t="shared" si="38"/>
        <v>92.248062015503876</v>
      </c>
      <c r="T197" s="484">
        <f t="shared" si="38"/>
        <v>90.586686745080542</v>
      </c>
      <c r="U197" s="484">
        <v>90.84</v>
      </c>
    </row>
    <row r="198" spans="2:21" s="219" customFormat="1" ht="15.6" x14ac:dyDescent="0.3">
      <c r="B198" s="297" t="s">
        <v>27</v>
      </c>
      <c r="C198" s="297"/>
      <c r="D198" s="258"/>
      <c r="E198" s="258"/>
      <c r="F198" s="258"/>
      <c r="G198" s="258"/>
      <c r="H198" s="258"/>
      <c r="I198" s="258"/>
      <c r="J198" s="258"/>
      <c r="K198" s="258"/>
      <c r="L198" s="258"/>
      <c r="M198" s="258"/>
      <c r="N198" s="258"/>
      <c r="O198" s="258"/>
      <c r="P198" s="258"/>
      <c r="Q198" s="258"/>
      <c r="R198" s="258"/>
      <c r="S198" s="258"/>
      <c r="T198" s="258"/>
      <c r="U198" s="258"/>
    </row>
    <row r="199" spans="2:21" s="6" customFormat="1" ht="15.6" x14ac:dyDescent="0.3">
      <c r="B199" s="674" t="s">
        <v>261</v>
      </c>
      <c r="C199" s="675"/>
      <c r="D199" s="264"/>
      <c r="E199" s="264"/>
      <c r="F199" s="264"/>
      <c r="G199" s="264"/>
      <c r="H199" s="264"/>
      <c r="I199" s="264"/>
      <c r="J199" s="264"/>
      <c r="K199" s="272">
        <v>54054</v>
      </c>
      <c r="L199" s="264"/>
      <c r="M199" s="264">
        <v>56426</v>
      </c>
      <c r="N199" s="264">
        <v>71426</v>
      </c>
      <c r="O199" s="264">
        <v>69326</v>
      </c>
      <c r="P199" s="264">
        <v>70990</v>
      </c>
      <c r="Q199" s="264">
        <v>73398</v>
      </c>
      <c r="R199" s="264">
        <v>74988</v>
      </c>
      <c r="S199" s="264">
        <v>79398</v>
      </c>
      <c r="T199" s="264">
        <v>88112</v>
      </c>
      <c r="U199" s="264">
        <v>80998</v>
      </c>
    </row>
    <row r="200" spans="2:21" s="6" customFormat="1" ht="15.6" x14ac:dyDescent="0.3">
      <c r="B200" s="674" t="s">
        <v>267</v>
      </c>
      <c r="C200" s="675"/>
      <c r="D200" s="264"/>
      <c r="E200" s="264"/>
      <c r="F200" s="264"/>
      <c r="G200" s="264"/>
      <c r="H200" s="264"/>
      <c r="I200" s="264"/>
      <c r="J200" s="264"/>
      <c r="K200" s="272">
        <v>768980</v>
      </c>
      <c r="L200" s="264"/>
      <c r="M200" s="264">
        <v>823658</v>
      </c>
      <c r="N200" s="264">
        <v>764367</v>
      </c>
      <c r="O200" s="264">
        <v>734555</v>
      </c>
      <c r="P200" s="264">
        <v>736000</v>
      </c>
      <c r="Q200" s="264">
        <v>750222</v>
      </c>
      <c r="R200" s="264">
        <v>751502</v>
      </c>
      <c r="S200" s="264">
        <v>783883</v>
      </c>
      <c r="T200" s="264">
        <v>854716</v>
      </c>
      <c r="U200" s="264">
        <v>781835</v>
      </c>
    </row>
    <row r="201" spans="2:21" s="6" customFormat="1" ht="15.6" x14ac:dyDescent="0.3">
      <c r="B201" s="674" t="s">
        <v>31</v>
      </c>
      <c r="C201" s="675"/>
      <c r="D201" s="264"/>
      <c r="E201" s="264"/>
      <c r="F201" s="264"/>
      <c r="G201" s="264"/>
      <c r="H201" s="264"/>
      <c r="I201" s="264"/>
      <c r="J201" s="264"/>
      <c r="K201" s="264">
        <v>58026</v>
      </c>
      <c r="L201" s="264"/>
      <c r="M201" s="264">
        <v>54409</v>
      </c>
      <c r="N201" s="264">
        <v>42218</v>
      </c>
      <c r="O201" s="264">
        <v>37912</v>
      </c>
      <c r="P201" s="264">
        <v>34442</v>
      </c>
      <c r="Q201" s="264">
        <v>32286</v>
      </c>
      <c r="R201" s="264">
        <v>28711</v>
      </c>
      <c r="S201" s="264">
        <v>27027</v>
      </c>
      <c r="T201" s="264">
        <v>25653</v>
      </c>
      <c r="U201" s="264">
        <v>22475</v>
      </c>
    </row>
    <row r="202" spans="2:21" s="6" customFormat="1" ht="15.6" x14ac:dyDescent="0.3">
      <c r="B202" s="674" t="s">
        <v>262</v>
      </c>
      <c r="C202" s="675"/>
      <c r="D202" s="264"/>
      <c r="E202" s="264"/>
      <c r="F202" s="264"/>
      <c r="G202" s="264"/>
      <c r="H202" s="264"/>
      <c r="I202" s="264"/>
      <c r="J202" s="264"/>
      <c r="K202" s="264">
        <v>249</v>
      </c>
      <c r="L202" s="264"/>
      <c r="M202" s="264">
        <v>269</v>
      </c>
      <c r="N202" s="264">
        <v>250</v>
      </c>
      <c r="O202" s="264">
        <v>241</v>
      </c>
      <c r="P202" s="264">
        <v>237</v>
      </c>
      <c r="Q202" s="264">
        <v>251</v>
      </c>
      <c r="R202" s="264">
        <v>255</v>
      </c>
      <c r="S202" s="264">
        <v>268</v>
      </c>
      <c r="T202" s="264">
        <v>295</v>
      </c>
      <c r="U202" s="264">
        <v>271</v>
      </c>
    </row>
    <row r="203" spans="2:21" s="6" customFormat="1" ht="15.6" x14ac:dyDescent="0.3">
      <c r="B203" s="674" t="s">
        <v>263</v>
      </c>
      <c r="C203" s="675"/>
      <c r="D203" s="264"/>
      <c r="E203" s="264"/>
      <c r="F203" s="264"/>
      <c r="G203" s="264"/>
      <c r="H203" s="264"/>
      <c r="I203" s="264"/>
      <c r="J203" s="264"/>
      <c r="K203" s="264">
        <v>771</v>
      </c>
      <c r="L203" s="264"/>
      <c r="M203" s="264">
        <v>821</v>
      </c>
      <c r="N203" s="264">
        <v>764</v>
      </c>
      <c r="O203" s="264">
        <v>735</v>
      </c>
      <c r="P203" s="264">
        <v>742</v>
      </c>
      <c r="Q203" s="264">
        <v>758</v>
      </c>
      <c r="R203" s="264">
        <v>763</v>
      </c>
      <c r="S203" s="264">
        <v>800</v>
      </c>
      <c r="T203" s="264">
        <v>876</v>
      </c>
      <c r="U203" s="264">
        <v>802</v>
      </c>
    </row>
    <row r="204" spans="2:21" s="6" customFormat="1" ht="15.6" x14ac:dyDescent="0.3">
      <c r="B204" s="674" t="s">
        <v>264</v>
      </c>
      <c r="C204" s="675"/>
      <c r="D204" s="264"/>
      <c r="E204" s="264"/>
      <c r="F204" s="264"/>
      <c r="G204" s="264"/>
      <c r="H204" s="264"/>
      <c r="I204" s="264"/>
      <c r="J204" s="264"/>
      <c r="K204" s="264">
        <v>338</v>
      </c>
      <c r="L204" s="264"/>
      <c r="M204" s="264">
        <v>348</v>
      </c>
      <c r="N204" s="264">
        <v>321</v>
      </c>
      <c r="O204" s="264">
        <v>307</v>
      </c>
      <c r="P204" s="264">
        <v>303</v>
      </c>
      <c r="Q204" s="264">
        <v>305</v>
      </c>
      <c r="R204" s="264">
        <v>300</v>
      </c>
      <c r="S204" s="264">
        <v>309</v>
      </c>
      <c r="T204" s="264">
        <v>332</v>
      </c>
      <c r="U204" s="264">
        <v>302</v>
      </c>
    </row>
    <row r="205" spans="2:21" s="6" customFormat="1" ht="15.6" x14ac:dyDescent="0.3">
      <c r="B205" s="674" t="s">
        <v>265</v>
      </c>
      <c r="C205" s="675"/>
      <c r="D205" s="264"/>
      <c r="E205" s="264"/>
      <c r="F205" s="264"/>
      <c r="G205" s="264"/>
      <c r="H205" s="264"/>
      <c r="I205" s="264"/>
      <c r="J205" s="264"/>
      <c r="K205" s="272">
        <v>26743</v>
      </c>
      <c r="L205" s="264"/>
      <c r="M205" s="264">
        <v>30049</v>
      </c>
      <c r="N205" s="264">
        <v>28168</v>
      </c>
      <c r="O205" s="264">
        <v>27562</v>
      </c>
      <c r="P205" s="264">
        <v>28690</v>
      </c>
      <c r="Q205" s="264">
        <v>30019</v>
      </c>
      <c r="R205" s="264">
        <v>31124</v>
      </c>
      <c r="S205" s="264">
        <v>33314</v>
      </c>
      <c r="T205" s="264">
        <v>37432</v>
      </c>
      <c r="U205" s="264">
        <v>34528</v>
      </c>
    </row>
    <row r="206" spans="2:21" ht="14.25" customHeight="1" x14ac:dyDescent="0.3">
      <c r="B206" s="677" t="s">
        <v>266</v>
      </c>
      <c r="C206" s="677"/>
      <c r="D206" s="677"/>
      <c r="E206" s="677"/>
      <c r="F206" s="677"/>
      <c r="G206" s="677"/>
      <c r="H206" s="677"/>
      <c r="I206" s="677"/>
      <c r="J206" s="677"/>
      <c r="K206" s="677"/>
      <c r="L206" s="677"/>
      <c r="M206" s="264"/>
      <c r="N206" s="264"/>
      <c r="O206" s="264"/>
      <c r="P206" s="264"/>
      <c r="Q206" s="264"/>
      <c r="R206" s="264"/>
      <c r="S206" s="264"/>
      <c r="T206" s="264"/>
      <c r="U206" s="430"/>
    </row>
    <row r="207" spans="2:21" ht="15.6" x14ac:dyDescent="0.3">
      <c r="B207" s="257"/>
      <c r="C207" s="257"/>
      <c r="D207" s="243"/>
      <c r="E207" s="349"/>
      <c r="F207" s="243"/>
      <c r="G207" s="243"/>
      <c r="H207" s="243"/>
      <c r="I207" s="243"/>
      <c r="J207" s="243"/>
      <c r="K207" s="243"/>
      <c r="L207" s="243"/>
      <c r="M207" s="264"/>
      <c r="N207" s="264"/>
      <c r="O207" s="264"/>
      <c r="P207" s="264"/>
      <c r="Q207" s="264"/>
      <c r="R207" s="264"/>
      <c r="S207" s="264"/>
      <c r="T207" s="264"/>
    </row>
    <row r="208" spans="2:21" ht="15.6" x14ac:dyDescent="0.3">
      <c r="B208" s="676" t="s">
        <v>727</v>
      </c>
      <c r="C208" s="676"/>
      <c r="D208" s="676"/>
      <c r="E208" s="676"/>
      <c r="F208" s="676"/>
      <c r="G208" s="297"/>
      <c r="H208" s="297"/>
      <c r="I208" s="297"/>
      <c r="J208" s="297"/>
      <c r="K208" s="297"/>
      <c r="L208" s="297"/>
      <c r="M208" s="297"/>
      <c r="N208" s="297"/>
      <c r="O208" s="297"/>
      <c r="P208" s="297"/>
      <c r="Q208" s="297"/>
      <c r="R208" s="297"/>
      <c r="S208" s="297"/>
      <c r="T208" s="297"/>
      <c r="U208" s="297"/>
    </row>
    <row r="209" spans="2:21" ht="15.6" x14ac:dyDescent="0.3">
      <c r="B209" s="296"/>
      <c r="C209" s="296"/>
      <c r="D209" s="244">
        <v>2000</v>
      </c>
      <c r="E209" s="244">
        <v>2001</v>
      </c>
      <c r="F209" s="244">
        <v>2002</v>
      </c>
      <c r="G209" s="244">
        <v>2003</v>
      </c>
      <c r="H209" s="244">
        <v>2004</v>
      </c>
      <c r="I209" s="244">
        <v>2005</v>
      </c>
      <c r="J209" s="244">
        <v>2006</v>
      </c>
      <c r="K209" s="331" t="s">
        <v>347</v>
      </c>
      <c r="L209" s="331" t="s">
        <v>351</v>
      </c>
      <c r="M209" s="331" t="s">
        <v>348</v>
      </c>
      <c r="N209" s="244">
        <v>2010</v>
      </c>
      <c r="O209" s="244">
        <v>2011</v>
      </c>
      <c r="P209" s="244">
        <v>2012</v>
      </c>
      <c r="Q209" s="244">
        <v>2013</v>
      </c>
      <c r="R209" s="244">
        <v>2014</v>
      </c>
      <c r="S209" s="244">
        <v>2015</v>
      </c>
      <c r="T209" s="244">
        <v>2016</v>
      </c>
      <c r="U209" s="244">
        <v>2017</v>
      </c>
    </row>
    <row r="210" spans="2:21" ht="15.6" x14ac:dyDescent="0.3">
      <c r="B210" s="350" t="s">
        <v>258</v>
      </c>
      <c r="C210" s="350" t="s">
        <v>233</v>
      </c>
      <c r="D210" s="272"/>
      <c r="E210" s="272"/>
      <c r="F210" s="272"/>
      <c r="G210" s="272"/>
      <c r="H210" s="272"/>
      <c r="I210" s="272"/>
      <c r="J210" s="272"/>
      <c r="K210" s="272">
        <v>4081000</v>
      </c>
      <c r="L210" s="272"/>
      <c r="M210" s="272">
        <v>4120000</v>
      </c>
      <c r="N210" s="272">
        <v>3931000</v>
      </c>
      <c r="O210" s="272">
        <v>3829000</v>
      </c>
      <c r="P210" s="272">
        <v>3779000</v>
      </c>
      <c r="Q210" s="272">
        <v>3820000</v>
      </c>
      <c r="R210" s="272">
        <v>3870000</v>
      </c>
      <c r="S210" s="272">
        <v>3653000</v>
      </c>
      <c r="T210" s="272">
        <v>3860000</v>
      </c>
      <c r="U210" s="272">
        <v>3847000</v>
      </c>
    </row>
    <row r="211" spans="2:21" ht="15.6" x14ac:dyDescent="0.3">
      <c r="B211" s="350" t="s">
        <v>259</v>
      </c>
      <c r="C211" s="350" t="s">
        <v>233</v>
      </c>
      <c r="D211" s="272"/>
      <c r="E211" s="272"/>
      <c r="F211" s="272"/>
      <c r="G211" s="272"/>
      <c r="H211" s="272"/>
      <c r="I211" s="272"/>
      <c r="J211" s="272"/>
      <c r="K211" s="272">
        <v>370</v>
      </c>
      <c r="L211" s="272"/>
      <c r="M211" s="272">
        <v>318</v>
      </c>
      <c r="N211" s="272">
        <v>285</v>
      </c>
      <c r="O211" s="272">
        <v>262</v>
      </c>
      <c r="P211" s="272">
        <v>235</v>
      </c>
      <c r="Q211" s="272">
        <v>218</v>
      </c>
      <c r="R211" s="272">
        <v>197</v>
      </c>
      <c r="S211" s="272">
        <v>163</v>
      </c>
      <c r="T211" s="272">
        <v>157</v>
      </c>
      <c r="U211" s="272">
        <v>160</v>
      </c>
    </row>
    <row r="212" spans="2:21" ht="15.6" x14ac:dyDescent="0.3">
      <c r="B212" s="350" t="s">
        <v>207</v>
      </c>
      <c r="C212" s="350" t="s">
        <v>233</v>
      </c>
      <c r="D212" s="272"/>
      <c r="E212" s="272"/>
      <c r="F212" s="272"/>
      <c r="G212" s="272"/>
      <c r="H212" s="272"/>
      <c r="I212" s="272"/>
      <c r="J212" s="272">
        <v>31077</v>
      </c>
      <c r="K212" s="272">
        <v>31138</v>
      </c>
      <c r="L212" s="272">
        <v>31433</v>
      </c>
      <c r="M212" s="272">
        <v>31313</v>
      </c>
      <c r="N212" s="272">
        <v>31303</v>
      </c>
      <c r="O212" s="272">
        <v>31581</v>
      </c>
      <c r="P212" s="272">
        <v>31256</v>
      </c>
      <c r="Q212" s="272">
        <v>30863</v>
      </c>
      <c r="R212" s="272">
        <v>30876</v>
      </c>
      <c r="S212" s="272">
        <v>30106</v>
      </c>
      <c r="T212" s="272">
        <v>30721</v>
      </c>
      <c r="U212" s="272">
        <v>32665</v>
      </c>
    </row>
    <row r="213" spans="2:21" ht="15.6" x14ac:dyDescent="0.3">
      <c r="B213" s="351" t="s">
        <v>258</v>
      </c>
      <c r="C213" s="351" t="s">
        <v>234</v>
      </c>
      <c r="D213" s="322"/>
      <c r="E213" s="322"/>
      <c r="F213" s="322"/>
      <c r="G213" s="322"/>
      <c r="H213" s="322"/>
      <c r="I213" s="322"/>
      <c r="J213" s="322"/>
      <c r="K213" s="322">
        <v>4677000</v>
      </c>
      <c r="L213" s="322"/>
      <c r="M213" s="322">
        <v>4703000</v>
      </c>
      <c r="N213" s="322">
        <v>4450000</v>
      </c>
      <c r="O213" s="322">
        <v>4423000</v>
      </c>
      <c r="P213" s="322">
        <v>4709000</v>
      </c>
      <c r="Q213" s="322">
        <v>4925000</v>
      </c>
      <c r="R213" s="322">
        <v>5062000</v>
      </c>
      <c r="S213" s="322">
        <v>4860000</v>
      </c>
      <c r="T213" s="322">
        <v>5074000</v>
      </c>
      <c r="U213" s="272">
        <v>5667000</v>
      </c>
    </row>
    <row r="214" spans="2:21" ht="15.6" x14ac:dyDescent="0.3">
      <c r="B214" s="351" t="s">
        <v>259</v>
      </c>
      <c r="C214" s="351" t="s">
        <v>234</v>
      </c>
      <c r="D214" s="322"/>
      <c r="E214" s="322"/>
      <c r="F214" s="322"/>
      <c r="G214" s="322"/>
      <c r="H214" s="322"/>
      <c r="I214" s="322"/>
      <c r="J214" s="322"/>
      <c r="K214" s="322">
        <v>425</v>
      </c>
      <c r="L214" s="322"/>
      <c r="M214" s="322">
        <v>363</v>
      </c>
      <c r="N214" s="322">
        <v>329</v>
      </c>
      <c r="O214" s="322">
        <v>302</v>
      </c>
      <c r="P214" s="322">
        <v>293</v>
      </c>
      <c r="Q214" s="322">
        <v>281</v>
      </c>
      <c r="R214" s="322">
        <v>258</v>
      </c>
      <c r="S214" s="322">
        <v>217</v>
      </c>
      <c r="T214" s="322">
        <v>207</v>
      </c>
      <c r="U214" s="272">
        <v>236</v>
      </c>
    </row>
    <row r="215" spans="2:21" ht="15.6" x14ac:dyDescent="0.3">
      <c r="B215" s="351" t="s">
        <v>207</v>
      </c>
      <c r="C215" s="351" t="s">
        <v>234</v>
      </c>
      <c r="D215" s="322"/>
      <c r="E215" s="322"/>
      <c r="F215" s="322"/>
      <c r="G215" s="322"/>
      <c r="H215" s="322"/>
      <c r="I215" s="322"/>
      <c r="J215" s="322">
        <v>38866</v>
      </c>
      <c r="K215" s="322">
        <v>38471</v>
      </c>
      <c r="L215" s="322">
        <v>38783</v>
      </c>
      <c r="M215" s="322">
        <v>38790</v>
      </c>
      <c r="N215" s="322">
        <v>39228</v>
      </c>
      <c r="O215" s="322">
        <v>39905</v>
      </c>
      <c r="P215" s="322">
        <v>39989</v>
      </c>
      <c r="Q215" s="322">
        <v>40066</v>
      </c>
      <c r="R215" s="322">
        <v>40387</v>
      </c>
      <c r="S215" s="322">
        <v>39997</v>
      </c>
      <c r="T215" s="322">
        <v>40383</v>
      </c>
      <c r="U215" s="272">
        <v>39803</v>
      </c>
    </row>
    <row r="216" spans="2:21" ht="15.6" x14ac:dyDescent="0.3">
      <c r="B216" s="350" t="s">
        <v>258</v>
      </c>
      <c r="C216" s="350" t="s">
        <v>168</v>
      </c>
      <c r="D216" s="272"/>
      <c r="E216" s="272"/>
      <c r="F216" s="272"/>
      <c r="G216" s="272"/>
      <c r="H216" s="272"/>
      <c r="I216" s="272"/>
      <c r="J216" s="272"/>
      <c r="K216" s="272">
        <v>48239000</v>
      </c>
      <c r="L216" s="272"/>
      <c r="M216" s="272">
        <v>50457000</v>
      </c>
      <c r="N216" s="272">
        <v>48428000</v>
      </c>
      <c r="O216" s="272">
        <v>47171000</v>
      </c>
      <c r="P216" s="272">
        <v>45085000</v>
      </c>
      <c r="Q216" s="272">
        <v>46131000</v>
      </c>
      <c r="R216" s="272">
        <v>46684000</v>
      </c>
      <c r="S216" s="272">
        <v>45838000</v>
      </c>
      <c r="T216" s="272">
        <v>48078000</v>
      </c>
      <c r="U216" s="272">
        <v>49514000</v>
      </c>
    </row>
    <row r="217" spans="2:21" ht="15.6" x14ac:dyDescent="0.3">
      <c r="B217" s="350" t="s">
        <v>259</v>
      </c>
      <c r="C217" s="350" t="s">
        <v>168</v>
      </c>
      <c r="D217" s="272"/>
      <c r="E217" s="272"/>
      <c r="F217" s="272"/>
      <c r="G217" s="272"/>
      <c r="H217" s="272"/>
      <c r="I217" s="272"/>
      <c r="J217" s="272"/>
      <c r="K217" s="272">
        <v>4379</v>
      </c>
      <c r="L217" s="272"/>
      <c r="M217" s="272">
        <v>3896</v>
      </c>
      <c r="N217" s="272">
        <v>3510</v>
      </c>
      <c r="O217" s="272">
        <v>3225</v>
      </c>
      <c r="P217" s="272">
        <v>2805</v>
      </c>
      <c r="Q217" s="272">
        <v>2630</v>
      </c>
      <c r="R217" s="272">
        <v>2377</v>
      </c>
      <c r="S217" s="272">
        <v>2047</v>
      </c>
      <c r="T217" s="272">
        <v>1960</v>
      </c>
      <c r="U217" s="272">
        <v>2064</v>
      </c>
    </row>
    <row r="218" spans="2:21" ht="15.6" x14ac:dyDescent="0.3">
      <c r="B218" s="350" t="s">
        <v>207</v>
      </c>
      <c r="C218" s="350" t="s">
        <v>168</v>
      </c>
      <c r="D218" s="272"/>
      <c r="E218" s="272"/>
      <c r="F218" s="272"/>
      <c r="G218" s="272"/>
      <c r="H218" s="272"/>
      <c r="I218" s="272"/>
      <c r="J218" s="272">
        <v>355871</v>
      </c>
      <c r="K218" s="272">
        <v>359272</v>
      </c>
      <c r="L218" s="272">
        <v>364045</v>
      </c>
      <c r="M218" s="272">
        <v>363445</v>
      </c>
      <c r="N218" s="272">
        <v>366515</v>
      </c>
      <c r="O218" s="272">
        <v>367632</v>
      </c>
      <c r="P218" s="272">
        <v>368935</v>
      </c>
      <c r="Q218" s="272">
        <v>371265</v>
      </c>
      <c r="R218" s="272">
        <v>372463</v>
      </c>
      <c r="S218" s="272">
        <v>377809</v>
      </c>
      <c r="T218" s="272">
        <v>382645</v>
      </c>
      <c r="U218" s="272">
        <v>408233</v>
      </c>
    </row>
    <row r="219" spans="2:21" ht="15.6" x14ac:dyDescent="0.3">
      <c r="B219" s="351" t="s">
        <v>258</v>
      </c>
      <c r="C219" s="351" t="s">
        <v>169</v>
      </c>
      <c r="D219" s="322"/>
      <c r="E219" s="322"/>
      <c r="F219" s="322"/>
      <c r="G219" s="322"/>
      <c r="H219" s="322"/>
      <c r="I219" s="322"/>
      <c r="J219" s="322"/>
      <c r="K219" s="322">
        <v>8124000</v>
      </c>
      <c r="L219" s="322"/>
      <c r="M219" s="322">
        <v>8421000</v>
      </c>
      <c r="N219" s="322">
        <v>8118000</v>
      </c>
      <c r="O219" s="322">
        <v>7908000</v>
      </c>
      <c r="P219" s="322">
        <v>7876000</v>
      </c>
      <c r="Q219" s="322">
        <v>7797000</v>
      </c>
      <c r="R219" s="322">
        <v>7910000</v>
      </c>
      <c r="S219" s="322">
        <v>7553000</v>
      </c>
      <c r="T219" s="322">
        <v>7927000</v>
      </c>
      <c r="U219" s="272">
        <v>8008000</v>
      </c>
    </row>
    <row r="220" spans="2:21" ht="15.6" x14ac:dyDescent="0.3">
      <c r="B220" s="351" t="s">
        <v>259</v>
      </c>
      <c r="C220" s="351" t="s">
        <v>169</v>
      </c>
      <c r="D220" s="322"/>
      <c r="E220" s="322"/>
      <c r="F220" s="322"/>
      <c r="G220" s="322"/>
      <c r="H220" s="322"/>
      <c r="I220" s="322"/>
      <c r="J220" s="322"/>
      <c r="K220" s="322">
        <v>737</v>
      </c>
      <c r="L220" s="322"/>
      <c r="M220" s="322">
        <v>650</v>
      </c>
      <c r="N220" s="322">
        <v>588</v>
      </c>
      <c r="O220" s="322">
        <v>541</v>
      </c>
      <c r="P220" s="322">
        <v>490</v>
      </c>
      <c r="Q220" s="322">
        <v>444</v>
      </c>
      <c r="R220" s="322">
        <v>403</v>
      </c>
      <c r="S220" s="322">
        <v>337</v>
      </c>
      <c r="T220" s="322">
        <v>323</v>
      </c>
      <c r="U220" s="272">
        <v>334</v>
      </c>
    </row>
    <row r="221" spans="2:21" ht="15.6" x14ac:dyDescent="0.3">
      <c r="B221" s="351" t="s">
        <v>207</v>
      </c>
      <c r="C221" s="351" t="s">
        <v>169</v>
      </c>
      <c r="D221" s="322"/>
      <c r="E221" s="322"/>
      <c r="F221" s="322"/>
      <c r="G221" s="322"/>
      <c r="H221" s="322"/>
      <c r="I221" s="322"/>
      <c r="J221" s="322">
        <v>63217</v>
      </c>
      <c r="K221" s="322">
        <v>63436</v>
      </c>
      <c r="L221" s="322">
        <v>64574</v>
      </c>
      <c r="M221" s="322">
        <v>63294</v>
      </c>
      <c r="N221" s="322">
        <v>63087</v>
      </c>
      <c r="O221" s="322">
        <v>63314</v>
      </c>
      <c r="P221" s="322">
        <v>63091</v>
      </c>
      <c r="Q221" s="322">
        <v>62885</v>
      </c>
      <c r="R221" s="322">
        <v>6311</v>
      </c>
      <c r="S221" s="322">
        <v>62263</v>
      </c>
      <c r="T221" s="322">
        <v>63111</v>
      </c>
      <c r="U221" s="272">
        <v>64935</v>
      </c>
    </row>
    <row r="222" spans="2:21" ht="15.6" x14ac:dyDescent="0.3">
      <c r="B222" s="350" t="s">
        <v>258</v>
      </c>
      <c r="C222" s="350" t="s">
        <v>170</v>
      </c>
      <c r="D222" s="272"/>
      <c r="E222" s="272"/>
      <c r="F222" s="272"/>
      <c r="G222" s="272"/>
      <c r="H222" s="272"/>
      <c r="I222" s="272"/>
      <c r="J222" s="272"/>
      <c r="K222" s="272">
        <v>397000</v>
      </c>
      <c r="L222" s="272"/>
      <c r="M222" s="272">
        <v>379000</v>
      </c>
      <c r="N222" s="272">
        <v>367000</v>
      </c>
      <c r="O222" s="272">
        <v>358000</v>
      </c>
      <c r="P222" s="272">
        <v>386000</v>
      </c>
      <c r="Q222" s="272">
        <v>400000</v>
      </c>
      <c r="R222" s="272">
        <v>406000</v>
      </c>
      <c r="S222" s="272">
        <v>4860000</v>
      </c>
      <c r="T222" s="272">
        <v>411000</v>
      </c>
      <c r="U222" s="272">
        <v>411000</v>
      </c>
    </row>
    <row r="223" spans="2:21" ht="15.6" x14ac:dyDescent="0.3">
      <c r="B223" s="350" t="s">
        <v>259</v>
      </c>
      <c r="C223" s="350" t="s">
        <v>170</v>
      </c>
      <c r="D223" s="272"/>
      <c r="E223" s="272"/>
      <c r="F223" s="272"/>
      <c r="G223" s="272"/>
      <c r="H223" s="272"/>
      <c r="I223" s="272"/>
      <c r="J223" s="272"/>
      <c r="K223" s="272">
        <v>36</v>
      </c>
      <c r="L223" s="272"/>
      <c r="M223" s="272">
        <v>29</v>
      </c>
      <c r="N223" s="272">
        <v>27</v>
      </c>
      <c r="O223" s="272">
        <v>24</v>
      </c>
      <c r="P223" s="272">
        <v>24</v>
      </c>
      <c r="Q223" s="272">
        <v>23</v>
      </c>
      <c r="R223" s="272">
        <v>21</v>
      </c>
      <c r="S223" s="272">
        <v>217</v>
      </c>
      <c r="T223" s="272">
        <v>17</v>
      </c>
      <c r="U223" s="272">
        <v>17</v>
      </c>
    </row>
    <row r="224" spans="2:21" ht="15.6" x14ac:dyDescent="0.3">
      <c r="B224" s="350" t="s">
        <v>207</v>
      </c>
      <c r="C224" s="350" t="s">
        <v>170</v>
      </c>
      <c r="D224" s="272"/>
      <c r="E224" s="272"/>
      <c r="F224" s="272"/>
      <c r="G224" s="272"/>
      <c r="H224" s="272"/>
      <c r="I224" s="272"/>
      <c r="J224" s="272">
        <v>3220</v>
      </c>
      <c r="K224" s="272">
        <v>3169</v>
      </c>
      <c r="L224" s="272">
        <v>3119</v>
      </c>
      <c r="M224" s="272">
        <v>3249</v>
      </c>
      <c r="N224" s="272">
        <v>3255</v>
      </c>
      <c r="O224" s="272">
        <v>3277</v>
      </c>
      <c r="P224" s="272">
        <v>3310</v>
      </c>
      <c r="Q224" s="272">
        <v>3263</v>
      </c>
      <c r="R224" s="272">
        <v>3240</v>
      </c>
      <c r="S224" s="272">
        <v>3197</v>
      </c>
      <c r="T224" s="272">
        <v>3248</v>
      </c>
      <c r="U224" s="272">
        <v>62108</v>
      </c>
    </row>
    <row r="225" spans="2:21" ht="15.6" x14ac:dyDescent="0.3">
      <c r="B225" s="351" t="s">
        <v>258</v>
      </c>
      <c r="C225" s="351" t="s">
        <v>171</v>
      </c>
      <c r="D225" s="322"/>
      <c r="E225" s="322"/>
      <c r="F225" s="322"/>
      <c r="G225" s="322"/>
      <c r="H225" s="322"/>
      <c r="I225" s="322"/>
      <c r="J225" s="322"/>
      <c r="K225" s="322">
        <v>7560000</v>
      </c>
      <c r="L225" s="322"/>
      <c r="M225" s="322">
        <v>7912000</v>
      </c>
      <c r="N225" s="322">
        <v>7622000</v>
      </c>
      <c r="O225" s="322">
        <v>7425000</v>
      </c>
      <c r="P225" s="322">
        <v>7294000</v>
      </c>
      <c r="Q225" s="322">
        <v>7281000</v>
      </c>
      <c r="R225" s="322">
        <v>7522000</v>
      </c>
      <c r="S225" s="322">
        <v>45838000</v>
      </c>
      <c r="T225" s="322">
        <v>7636000</v>
      </c>
      <c r="U225" s="272">
        <v>7679000</v>
      </c>
    </row>
    <row r="226" spans="2:21" ht="15.6" x14ac:dyDescent="0.3">
      <c r="B226" s="351" t="s">
        <v>259</v>
      </c>
      <c r="C226" s="351" t="s">
        <v>171</v>
      </c>
      <c r="D226" s="322"/>
      <c r="E226" s="322"/>
      <c r="F226" s="322"/>
      <c r="G226" s="322"/>
      <c r="H226" s="322"/>
      <c r="I226" s="322"/>
      <c r="J226" s="322"/>
      <c r="K226" s="322">
        <v>686</v>
      </c>
      <c r="L226" s="322"/>
      <c r="M226" s="322">
        <v>611</v>
      </c>
      <c r="N226" s="322">
        <v>553</v>
      </c>
      <c r="O226" s="322">
        <v>508</v>
      </c>
      <c r="P226" s="322">
        <v>454</v>
      </c>
      <c r="Q226" s="322">
        <v>418</v>
      </c>
      <c r="R226" s="322">
        <v>383</v>
      </c>
      <c r="S226" s="322">
        <v>2047</v>
      </c>
      <c r="T226" s="322">
        <v>311</v>
      </c>
      <c r="U226" s="272">
        <v>320</v>
      </c>
    </row>
    <row r="227" spans="2:21" ht="15.6" x14ac:dyDescent="0.3">
      <c r="B227" s="351" t="s">
        <v>207</v>
      </c>
      <c r="C227" s="351" t="s">
        <v>171</v>
      </c>
      <c r="D227" s="322"/>
      <c r="E227" s="322"/>
      <c r="F227" s="322"/>
      <c r="G227" s="322"/>
      <c r="H227" s="322"/>
      <c r="I227" s="322"/>
      <c r="J227" s="322">
        <v>56484</v>
      </c>
      <c r="K227" s="322">
        <v>57613</v>
      </c>
      <c r="L227" s="322">
        <v>58977</v>
      </c>
      <c r="M227" s="322">
        <v>58646</v>
      </c>
      <c r="N227" s="322">
        <v>58831</v>
      </c>
      <c r="O227" s="322">
        <v>59297</v>
      </c>
      <c r="P227" s="322">
        <v>59450</v>
      </c>
      <c r="Q227" s="322">
        <v>59385</v>
      </c>
      <c r="R227" s="322">
        <v>60013</v>
      </c>
      <c r="S227" s="322">
        <v>60100</v>
      </c>
      <c r="T227" s="322">
        <v>60775</v>
      </c>
      <c r="U227" s="272">
        <v>62108</v>
      </c>
    </row>
    <row r="228" spans="2:21" ht="15.6" x14ac:dyDescent="0.3">
      <c r="B228" s="350" t="s">
        <v>258</v>
      </c>
      <c r="C228" s="350" t="s">
        <v>172</v>
      </c>
      <c r="D228" s="272"/>
      <c r="E228" s="272"/>
      <c r="F228" s="272"/>
      <c r="G228" s="272"/>
      <c r="H228" s="272"/>
      <c r="I228" s="272"/>
      <c r="J228" s="272"/>
      <c r="K228" s="272">
        <v>21996000</v>
      </c>
      <c r="L228" s="272"/>
      <c r="M228" s="272">
        <v>24577000</v>
      </c>
      <c r="N228" s="272">
        <v>23521000</v>
      </c>
      <c r="O228" s="272">
        <v>22910000</v>
      </c>
      <c r="P228" s="272">
        <v>22577000</v>
      </c>
      <c r="Q228" s="272">
        <v>22954000</v>
      </c>
      <c r="R228" s="272">
        <v>23725000</v>
      </c>
      <c r="S228" s="272">
        <v>7553000</v>
      </c>
      <c r="T228" s="272">
        <v>24755000</v>
      </c>
      <c r="U228" s="272">
        <v>25135000</v>
      </c>
    </row>
    <row r="229" spans="2:21" ht="15.6" x14ac:dyDescent="0.3">
      <c r="B229" s="350" t="s">
        <v>259</v>
      </c>
      <c r="C229" s="350" t="s">
        <v>172</v>
      </c>
      <c r="D229" s="272"/>
      <c r="E229" s="272"/>
      <c r="F229" s="272"/>
      <c r="G229" s="272"/>
      <c r="H229" s="272"/>
      <c r="I229" s="272"/>
      <c r="J229" s="272"/>
      <c r="K229" s="272">
        <v>1997</v>
      </c>
      <c r="L229" s="272"/>
      <c r="M229" s="272">
        <v>1898</v>
      </c>
      <c r="N229" s="272">
        <v>1705</v>
      </c>
      <c r="O229" s="272">
        <v>1566</v>
      </c>
      <c r="P229" s="272">
        <v>1404</v>
      </c>
      <c r="Q229" s="272">
        <v>1309</v>
      </c>
      <c r="R229" s="272">
        <v>1208</v>
      </c>
      <c r="S229" s="272">
        <v>337</v>
      </c>
      <c r="T229" s="272">
        <v>1009</v>
      </c>
      <c r="U229" s="272">
        <v>1048</v>
      </c>
    </row>
    <row r="230" spans="2:21" ht="15.6" x14ac:dyDescent="0.3">
      <c r="B230" s="350" t="s">
        <v>207</v>
      </c>
      <c r="C230" s="350" t="s">
        <v>172</v>
      </c>
      <c r="D230" s="272"/>
      <c r="E230" s="272"/>
      <c r="F230" s="272"/>
      <c r="G230" s="272"/>
      <c r="H230" s="272"/>
      <c r="I230" s="272"/>
      <c r="J230" s="272">
        <v>167417</v>
      </c>
      <c r="K230" s="272">
        <v>173730</v>
      </c>
      <c r="L230" s="272">
        <v>180296</v>
      </c>
      <c r="M230" s="272">
        <v>182200</v>
      </c>
      <c r="N230" s="272">
        <v>182228</v>
      </c>
      <c r="O230" s="272">
        <v>183521</v>
      </c>
      <c r="P230" s="272">
        <v>184964</v>
      </c>
      <c r="Q230" s="272">
        <v>185944</v>
      </c>
      <c r="R230" s="272">
        <v>189289</v>
      </c>
      <c r="S230" s="272">
        <v>195523</v>
      </c>
      <c r="T230" s="272">
        <v>197075</v>
      </c>
      <c r="U230" s="272">
        <v>204855</v>
      </c>
    </row>
    <row r="231" spans="2:21" ht="15.6" x14ac:dyDescent="0.3">
      <c r="B231" s="351" t="s">
        <v>258</v>
      </c>
      <c r="C231" s="351" t="s">
        <v>235</v>
      </c>
      <c r="D231" s="322"/>
      <c r="E231" s="322"/>
      <c r="F231" s="322"/>
      <c r="G231" s="322"/>
      <c r="H231" s="322"/>
      <c r="I231" s="322"/>
      <c r="J231" s="322"/>
      <c r="K231" s="322">
        <v>6815000</v>
      </c>
      <c r="L231" s="322"/>
      <c r="M231" s="322">
        <v>7163000</v>
      </c>
      <c r="N231" s="322">
        <v>6825000</v>
      </c>
      <c r="O231" s="322">
        <v>6648000</v>
      </c>
      <c r="P231" s="322">
        <v>6420000</v>
      </c>
      <c r="Q231" s="322">
        <v>6298000</v>
      </c>
      <c r="R231" s="322">
        <v>6491000</v>
      </c>
      <c r="S231" s="322">
        <v>6234000</v>
      </c>
      <c r="T231" s="322">
        <v>6543000</v>
      </c>
      <c r="U231" s="272">
        <v>6718000</v>
      </c>
    </row>
    <row r="232" spans="2:21" ht="15.6" x14ac:dyDescent="0.3">
      <c r="B232" s="351" t="s">
        <v>259</v>
      </c>
      <c r="C232" s="351" t="s">
        <v>235</v>
      </c>
      <c r="D232" s="322"/>
      <c r="E232" s="322"/>
      <c r="F232" s="322"/>
      <c r="G232" s="322"/>
      <c r="H232" s="322"/>
      <c r="I232" s="322"/>
      <c r="J232" s="322"/>
      <c r="K232" s="322">
        <v>619</v>
      </c>
      <c r="L232" s="322"/>
      <c r="M232" s="322">
        <v>553</v>
      </c>
      <c r="N232" s="322">
        <v>495</v>
      </c>
      <c r="O232" s="322">
        <v>454</v>
      </c>
      <c r="P232" s="322">
        <v>399</v>
      </c>
      <c r="Q232" s="322">
        <v>359</v>
      </c>
      <c r="R232" s="322">
        <v>331</v>
      </c>
      <c r="S232" s="322">
        <v>278</v>
      </c>
      <c r="T232" s="322">
        <v>267</v>
      </c>
      <c r="U232" s="272">
        <v>280</v>
      </c>
    </row>
    <row r="233" spans="2:21" ht="15.6" x14ac:dyDescent="0.3">
      <c r="B233" s="351" t="s">
        <v>207</v>
      </c>
      <c r="C233" s="351" t="s">
        <v>235</v>
      </c>
      <c r="D233" s="322"/>
      <c r="E233" s="322"/>
      <c r="F233" s="322"/>
      <c r="G233" s="322"/>
      <c r="H233" s="322"/>
      <c r="I233" s="322"/>
      <c r="J233" s="322">
        <v>50725</v>
      </c>
      <c r="K233" s="322">
        <v>51587</v>
      </c>
      <c r="L233" s="322">
        <v>53173</v>
      </c>
      <c r="M233" s="322">
        <v>51634</v>
      </c>
      <c r="N233" s="322">
        <v>51083</v>
      </c>
      <c r="O233" s="322">
        <v>51234</v>
      </c>
      <c r="P233" s="322">
        <v>51087</v>
      </c>
      <c r="Q233" s="322">
        <v>51007</v>
      </c>
      <c r="R233" s="322">
        <v>51789</v>
      </c>
      <c r="S233" s="322">
        <v>51451</v>
      </c>
      <c r="T233" s="322">
        <v>52021</v>
      </c>
      <c r="U233" s="272">
        <v>54391</v>
      </c>
    </row>
    <row r="234" spans="2:21" ht="15.6" x14ac:dyDescent="0.3">
      <c r="B234" s="350" t="s">
        <v>258</v>
      </c>
      <c r="C234" s="350" t="s">
        <v>349</v>
      </c>
      <c r="D234" s="272"/>
      <c r="E234" s="272"/>
      <c r="F234" s="272"/>
      <c r="G234" s="272"/>
      <c r="H234" s="272"/>
      <c r="I234" s="272"/>
      <c r="J234" s="272"/>
      <c r="K234" s="272"/>
      <c r="L234" s="272"/>
      <c r="M234" s="272">
        <v>8539000</v>
      </c>
      <c r="N234" s="272">
        <v>8199000</v>
      </c>
      <c r="O234" s="272">
        <v>7986000</v>
      </c>
      <c r="P234" s="272">
        <v>7791000</v>
      </c>
      <c r="Q234" s="272">
        <v>7947000</v>
      </c>
      <c r="R234" s="272">
        <v>8102000</v>
      </c>
      <c r="S234" s="272">
        <v>7842000</v>
      </c>
      <c r="T234" s="272">
        <v>8148000</v>
      </c>
      <c r="U234" s="272">
        <v>8357000</v>
      </c>
    </row>
    <row r="235" spans="2:21" ht="15.6" x14ac:dyDescent="0.3">
      <c r="B235" s="350" t="s">
        <v>259</v>
      </c>
      <c r="C235" s="350" t="s">
        <v>349</v>
      </c>
      <c r="D235" s="272"/>
      <c r="E235" s="272"/>
      <c r="F235" s="272"/>
      <c r="G235" s="272"/>
      <c r="H235" s="272"/>
      <c r="I235" s="272"/>
      <c r="J235" s="272"/>
      <c r="K235" s="272"/>
      <c r="L235" s="272"/>
      <c r="M235" s="272">
        <v>657</v>
      </c>
      <c r="N235" s="272">
        <v>594</v>
      </c>
      <c r="O235" s="272">
        <v>546</v>
      </c>
      <c r="P235" s="272">
        <v>485</v>
      </c>
      <c r="Q235" s="272">
        <v>453</v>
      </c>
      <c r="R235" s="272">
        <v>413</v>
      </c>
      <c r="S235" s="272">
        <v>350</v>
      </c>
      <c r="T235" s="272">
        <v>332</v>
      </c>
      <c r="U235" s="272">
        <v>348</v>
      </c>
    </row>
    <row r="236" spans="2:21" ht="16.5" customHeight="1" x14ac:dyDescent="0.3">
      <c r="B236" s="350" t="s">
        <v>207</v>
      </c>
      <c r="C236" s="350" t="s">
        <v>349</v>
      </c>
      <c r="D236" s="272"/>
      <c r="E236" s="272"/>
      <c r="F236" s="272"/>
      <c r="G236" s="272"/>
      <c r="H236" s="272"/>
      <c r="I236" s="272"/>
      <c r="J236" s="272"/>
      <c r="K236" s="272"/>
      <c r="L236" s="272"/>
      <c r="M236" s="272">
        <v>63551</v>
      </c>
      <c r="N236" s="272">
        <v>63875</v>
      </c>
      <c r="O236" s="272">
        <v>64417</v>
      </c>
      <c r="P236" s="272">
        <v>64499</v>
      </c>
      <c r="Q236" s="272">
        <v>64428</v>
      </c>
      <c r="R236" s="272">
        <v>64639</v>
      </c>
      <c r="S236" s="272">
        <v>64634</v>
      </c>
      <c r="T236" s="272">
        <v>64847</v>
      </c>
      <c r="U236" s="272">
        <v>70474</v>
      </c>
    </row>
    <row r="237" spans="2:21" ht="16.5" customHeight="1" x14ac:dyDescent="0.3">
      <c r="B237" s="351" t="s">
        <v>258</v>
      </c>
      <c r="C237" s="351" t="s">
        <v>175</v>
      </c>
      <c r="D237" s="322"/>
      <c r="E237" s="322"/>
      <c r="F237" s="322"/>
      <c r="G237" s="322"/>
      <c r="H237" s="322"/>
      <c r="I237" s="322"/>
      <c r="J237" s="322"/>
      <c r="K237" s="322">
        <v>10172000</v>
      </c>
      <c r="L237" s="322"/>
      <c r="M237" s="322">
        <v>10677000</v>
      </c>
      <c r="N237" s="322">
        <v>10359000</v>
      </c>
      <c r="O237" s="322">
        <v>10090000</v>
      </c>
      <c r="P237" s="322">
        <v>10006000</v>
      </c>
      <c r="Q237" s="322">
        <v>10162000</v>
      </c>
      <c r="R237" s="322">
        <v>10329000</v>
      </c>
      <c r="S237" s="322">
        <v>10044000</v>
      </c>
      <c r="T237" s="322">
        <v>10556000</v>
      </c>
      <c r="U237" s="272">
        <v>10793000</v>
      </c>
    </row>
    <row r="238" spans="2:21" ht="15.6" x14ac:dyDescent="0.3">
      <c r="B238" s="351" t="s">
        <v>259</v>
      </c>
      <c r="C238" s="351" t="s">
        <v>175</v>
      </c>
      <c r="D238" s="322"/>
      <c r="E238" s="322"/>
      <c r="F238" s="322"/>
      <c r="G238" s="322"/>
      <c r="H238" s="322"/>
      <c r="I238" s="322"/>
      <c r="J238" s="322"/>
      <c r="K238" s="322">
        <v>923</v>
      </c>
      <c r="L238" s="322"/>
      <c r="M238" s="322">
        <v>824</v>
      </c>
      <c r="N238" s="322">
        <v>751</v>
      </c>
      <c r="O238" s="322">
        <v>690</v>
      </c>
      <c r="P238" s="322">
        <v>622</v>
      </c>
      <c r="Q238" s="322">
        <v>579</v>
      </c>
      <c r="R238" s="322">
        <v>526</v>
      </c>
      <c r="S238" s="322">
        <v>448</v>
      </c>
      <c r="T238" s="322">
        <v>430</v>
      </c>
      <c r="U238" s="272">
        <v>450</v>
      </c>
    </row>
    <row r="239" spans="2:21" ht="16.5" customHeight="1" x14ac:dyDescent="0.3">
      <c r="B239" s="351" t="s">
        <v>207</v>
      </c>
      <c r="C239" s="351" t="s">
        <v>175</v>
      </c>
      <c r="D239" s="322"/>
      <c r="E239" s="322"/>
      <c r="F239" s="322"/>
      <c r="G239" s="322"/>
      <c r="H239" s="322"/>
      <c r="I239" s="322"/>
      <c r="J239" s="322">
        <v>78471</v>
      </c>
      <c r="K239" s="322">
        <v>79558</v>
      </c>
      <c r="L239" s="322">
        <v>80957</v>
      </c>
      <c r="M239" s="322">
        <v>80392</v>
      </c>
      <c r="N239" s="322">
        <v>81083</v>
      </c>
      <c r="O239" s="322">
        <v>81485</v>
      </c>
      <c r="P239" s="322">
        <v>81447</v>
      </c>
      <c r="Q239" s="322">
        <v>81659</v>
      </c>
      <c r="R239" s="322">
        <v>82407</v>
      </c>
      <c r="S239" s="322">
        <v>82787</v>
      </c>
      <c r="T239" s="322">
        <v>84014</v>
      </c>
      <c r="U239" s="272">
        <v>88866</v>
      </c>
    </row>
    <row r="240" spans="2:21" ht="15.6" x14ac:dyDescent="0.3">
      <c r="B240" s="350" t="s">
        <v>258</v>
      </c>
      <c r="C240" s="350" t="s">
        <v>176</v>
      </c>
      <c r="D240" s="272"/>
      <c r="E240" s="272"/>
      <c r="F240" s="272"/>
      <c r="G240" s="272"/>
      <c r="H240" s="272"/>
      <c r="I240" s="272"/>
      <c r="J240" s="272"/>
      <c r="K240" s="272">
        <v>7429000</v>
      </c>
      <c r="L240" s="272"/>
      <c r="M240" s="272">
        <v>7879000</v>
      </c>
      <c r="N240" s="272">
        <v>7547000</v>
      </c>
      <c r="O240" s="272">
        <v>7351000</v>
      </c>
      <c r="P240" s="272">
        <v>7241000</v>
      </c>
      <c r="Q240" s="272">
        <v>7069000</v>
      </c>
      <c r="R240" s="272">
        <v>7277000</v>
      </c>
      <c r="S240" s="272">
        <v>6990000</v>
      </c>
      <c r="T240" s="272">
        <v>7408000</v>
      </c>
      <c r="U240" s="272">
        <v>7345000</v>
      </c>
    </row>
    <row r="241" spans="2:21" ht="15.6" x14ac:dyDescent="0.3">
      <c r="B241" s="350" t="s">
        <v>259</v>
      </c>
      <c r="C241" s="350" t="s">
        <v>176</v>
      </c>
      <c r="D241" s="272"/>
      <c r="E241" s="272"/>
      <c r="F241" s="272"/>
      <c r="G241" s="272"/>
      <c r="H241" s="272"/>
      <c r="I241" s="272"/>
      <c r="J241" s="272"/>
      <c r="K241" s="272">
        <v>674</v>
      </c>
      <c r="L241" s="272"/>
      <c r="M241" s="272">
        <v>608</v>
      </c>
      <c r="N241" s="272">
        <v>547</v>
      </c>
      <c r="O241" s="272">
        <v>502</v>
      </c>
      <c r="P241" s="272">
        <v>450</v>
      </c>
      <c r="Q241" s="272">
        <v>403</v>
      </c>
      <c r="R241" s="272">
        <v>371</v>
      </c>
      <c r="S241" s="272">
        <v>312</v>
      </c>
      <c r="T241" s="272">
        <v>302</v>
      </c>
      <c r="U241" s="272">
        <v>306</v>
      </c>
    </row>
    <row r="242" spans="2:21" ht="15.6" x14ac:dyDescent="0.3">
      <c r="B242" s="350" t="s">
        <v>207</v>
      </c>
      <c r="C242" s="350" t="s">
        <v>176</v>
      </c>
      <c r="D242" s="272"/>
      <c r="E242" s="272"/>
      <c r="F242" s="272"/>
      <c r="G242" s="272"/>
      <c r="H242" s="272"/>
      <c r="I242" s="272"/>
      <c r="J242" s="272">
        <v>56096</v>
      </c>
      <c r="K242" s="272">
        <v>57031</v>
      </c>
      <c r="L242" s="272">
        <v>58777</v>
      </c>
      <c r="M242" s="272">
        <v>58018</v>
      </c>
      <c r="N242" s="272">
        <v>57616</v>
      </c>
      <c r="O242" s="272">
        <v>57679</v>
      </c>
      <c r="P242" s="272">
        <v>57779</v>
      </c>
      <c r="Q242" s="272">
        <v>57642</v>
      </c>
      <c r="R242" s="272">
        <v>58059</v>
      </c>
      <c r="S242" s="272">
        <v>57642</v>
      </c>
      <c r="T242" s="272">
        <v>58960</v>
      </c>
      <c r="U242" s="272">
        <v>63173</v>
      </c>
    </row>
    <row r="243" spans="2:21" ht="15.6" x14ac:dyDescent="0.3">
      <c r="B243" s="351" t="s">
        <v>258</v>
      </c>
      <c r="C243" s="351" t="s">
        <v>178</v>
      </c>
      <c r="D243" s="322"/>
      <c r="E243" s="322"/>
      <c r="F243" s="322"/>
      <c r="G243" s="322"/>
      <c r="H243" s="322"/>
      <c r="I243" s="322"/>
      <c r="J243" s="322"/>
      <c r="K243" s="322">
        <v>32670000</v>
      </c>
      <c r="L243" s="322"/>
      <c r="M243" s="322">
        <v>35220000</v>
      </c>
      <c r="N243" s="322">
        <v>34158000</v>
      </c>
      <c r="O243" s="322">
        <v>33271000</v>
      </c>
      <c r="P243" s="322">
        <v>34592000</v>
      </c>
      <c r="Q243" s="322">
        <v>35781000</v>
      </c>
      <c r="R243" s="322">
        <v>36183000</v>
      </c>
      <c r="S243" s="322">
        <v>35964000</v>
      </c>
      <c r="T243" s="322">
        <v>37852000</v>
      </c>
      <c r="U243" s="272">
        <v>38360000</v>
      </c>
    </row>
    <row r="244" spans="2:21" ht="15.6" x14ac:dyDescent="0.3">
      <c r="B244" s="351" t="s">
        <v>259</v>
      </c>
      <c r="C244" s="351" t="s">
        <v>178</v>
      </c>
      <c r="D244" s="322"/>
      <c r="E244" s="322"/>
      <c r="F244" s="322"/>
      <c r="G244" s="322"/>
      <c r="H244" s="322"/>
      <c r="I244" s="322"/>
      <c r="J244" s="322"/>
      <c r="K244" s="322">
        <v>2966</v>
      </c>
      <c r="L244" s="322"/>
      <c r="M244" s="322">
        <v>2720</v>
      </c>
      <c r="N244" s="322">
        <v>2476</v>
      </c>
      <c r="O244" s="322">
        <v>2274</v>
      </c>
      <c r="P244" s="322">
        <v>2152</v>
      </c>
      <c r="Q244" s="322">
        <v>2040</v>
      </c>
      <c r="R244" s="322">
        <v>1842</v>
      </c>
      <c r="S244" s="322">
        <v>1606</v>
      </c>
      <c r="T244" s="322">
        <v>1543</v>
      </c>
      <c r="U244" s="272">
        <v>1595</v>
      </c>
    </row>
    <row r="245" spans="2:21" ht="15.6" x14ac:dyDescent="0.3">
      <c r="B245" s="351" t="s">
        <v>207</v>
      </c>
      <c r="C245" s="351" t="s">
        <v>178</v>
      </c>
      <c r="D245" s="322"/>
      <c r="E245" s="322"/>
      <c r="F245" s="322"/>
      <c r="G245" s="322"/>
      <c r="H245" s="322"/>
      <c r="I245" s="322"/>
      <c r="J245" s="322">
        <v>266725</v>
      </c>
      <c r="K245" s="322">
        <v>271262</v>
      </c>
      <c r="L245" s="322">
        <v>276267</v>
      </c>
      <c r="M245" s="322">
        <v>278973</v>
      </c>
      <c r="N245" s="322">
        <v>283004</v>
      </c>
      <c r="O245" s="322">
        <v>283905</v>
      </c>
      <c r="P245" s="322">
        <v>284791</v>
      </c>
      <c r="Q245" s="322">
        <v>286980</v>
      </c>
      <c r="R245" s="322">
        <v>288682</v>
      </c>
      <c r="S245" s="322">
        <v>296414</v>
      </c>
      <c r="T245" s="322">
        <v>301238</v>
      </c>
      <c r="U245" s="272">
        <v>314514</v>
      </c>
    </row>
    <row r="246" spans="2:21" ht="15.6" x14ac:dyDescent="0.3">
      <c r="B246" s="350" t="s">
        <v>258</v>
      </c>
      <c r="C246" s="350" t="s">
        <v>237</v>
      </c>
      <c r="D246" s="272"/>
      <c r="E246" s="272"/>
      <c r="F246" s="272"/>
      <c r="G246" s="272"/>
      <c r="H246" s="272"/>
      <c r="I246" s="272"/>
      <c r="J246" s="272"/>
      <c r="K246" s="272">
        <v>11777000</v>
      </c>
      <c r="L246" s="272"/>
      <c r="M246" s="272">
        <v>12125000</v>
      </c>
      <c r="N246" s="272">
        <v>11693000</v>
      </c>
      <c r="O246" s="272">
        <v>11390000</v>
      </c>
      <c r="P246" s="272">
        <v>11672000</v>
      </c>
      <c r="Q246" s="272">
        <v>11735000</v>
      </c>
      <c r="R246" s="272">
        <v>11737000</v>
      </c>
      <c r="S246" s="272">
        <v>11077</v>
      </c>
      <c r="T246" s="272">
        <v>11426000</v>
      </c>
      <c r="U246" s="272">
        <v>11384</v>
      </c>
    </row>
    <row r="247" spans="2:21" ht="15.6" x14ac:dyDescent="0.3">
      <c r="B247" s="350" t="s">
        <v>259</v>
      </c>
      <c r="C247" s="350" t="s">
        <v>237</v>
      </c>
      <c r="D247" s="272"/>
      <c r="E247" s="272"/>
      <c r="F247" s="272"/>
      <c r="G247" s="272"/>
      <c r="H247" s="272"/>
      <c r="I247" s="272"/>
      <c r="J247" s="272"/>
      <c r="K247" s="272">
        <v>1069</v>
      </c>
      <c r="L247" s="272"/>
      <c r="M247" s="272">
        <v>936</v>
      </c>
      <c r="N247" s="272">
        <v>848</v>
      </c>
      <c r="O247" s="272">
        <v>779</v>
      </c>
      <c r="P247" s="272">
        <v>726</v>
      </c>
      <c r="Q247" s="272">
        <v>669</v>
      </c>
      <c r="R247" s="272">
        <v>598</v>
      </c>
      <c r="S247" s="272">
        <v>495</v>
      </c>
      <c r="T247" s="272">
        <v>466</v>
      </c>
      <c r="U247" s="272">
        <v>475</v>
      </c>
    </row>
    <row r="248" spans="2:21" ht="15.6" x14ac:dyDescent="0.3">
      <c r="B248" s="350" t="s">
        <v>207</v>
      </c>
      <c r="C248" s="350" t="s">
        <v>237</v>
      </c>
      <c r="D248" s="272"/>
      <c r="E248" s="272"/>
      <c r="F248" s="272"/>
      <c r="G248" s="272"/>
      <c r="H248" s="272"/>
      <c r="I248" s="272"/>
      <c r="J248" s="272">
        <v>94415</v>
      </c>
      <c r="K248" s="272">
        <v>94911</v>
      </c>
      <c r="L248" s="272">
        <v>95385</v>
      </c>
      <c r="M248" s="272">
        <v>93577</v>
      </c>
      <c r="N248" s="272">
        <v>93704</v>
      </c>
      <c r="O248" s="272">
        <v>93887</v>
      </c>
      <c r="P248" s="272">
        <v>93881</v>
      </c>
      <c r="Q248" s="272">
        <v>94193</v>
      </c>
      <c r="R248" s="272">
        <v>93645</v>
      </c>
      <c r="S248" s="272">
        <v>91277</v>
      </c>
      <c r="T248" s="272">
        <v>90915</v>
      </c>
      <c r="U248" s="272">
        <v>99479</v>
      </c>
    </row>
    <row r="249" spans="2:21" ht="15.6" x14ac:dyDescent="0.3">
      <c r="B249" s="351" t="s">
        <v>258</v>
      </c>
      <c r="C249" s="351" t="s">
        <v>238</v>
      </c>
      <c r="D249" s="322"/>
      <c r="E249" s="322"/>
      <c r="F249" s="322"/>
      <c r="G249" s="322"/>
      <c r="H249" s="322"/>
      <c r="I249" s="322"/>
      <c r="J249" s="322"/>
      <c r="K249" s="322">
        <v>4665000</v>
      </c>
      <c r="L249" s="322"/>
      <c r="M249" s="322">
        <v>4735000</v>
      </c>
      <c r="N249" s="322">
        <v>4590000</v>
      </c>
      <c r="O249" s="322">
        <v>4471000</v>
      </c>
      <c r="P249" s="322">
        <v>4758000</v>
      </c>
      <c r="Q249" s="322">
        <v>4693000</v>
      </c>
      <c r="R249" s="322">
        <v>4909000</v>
      </c>
      <c r="S249" s="322">
        <v>4673000</v>
      </c>
      <c r="T249" s="322">
        <v>4644000</v>
      </c>
      <c r="U249" s="272">
        <v>4668000</v>
      </c>
    </row>
    <row r="250" spans="2:21" ht="15.6" x14ac:dyDescent="0.3">
      <c r="B250" s="351" t="s">
        <v>259</v>
      </c>
      <c r="C250" s="351" t="s">
        <v>238</v>
      </c>
      <c r="D250" s="322"/>
      <c r="E250" s="322"/>
      <c r="F250" s="322"/>
      <c r="G250" s="322"/>
      <c r="H250" s="322"/>
      <c r="I250" s="322"/>
      <c r="J250" s="322"/>
      <c r="K250" s="322">
        <v>424</v>
      </c>
      <c r="L250" s="322"/>
      <c r="M250" s="322">
        <v>366</v>
      </c>
      <c r="N250" s="322">
        <v>333</v>
      </c>
      <c r="O250" s="322">
        <v>306</v>
      </c>
      <c r="P250" s="322">
        <v>296</v>
      </c>
      <c r="Q250" s="322">
        <v>268</v>
      </c>
      <c r="R250" s="322">
        <v>250</v>
      </c>
      <c r="S250" s="322">
        <v>209</v>
      </c>
      <c r="T250" s="322">
        <v>189</v>
      </c>
      <c r="U250" s="272">
        <v>195</v>
      </c>
    </row>
    <row r="251" spans="2:21" ht="15.6" x14ac:dyDescent="0.3">
      <c r="B251" s="351" t="s">
        <v>207</v>
      </c>
      <c r="C251" s="351" t="s">
        <v>238</v>
      </c>
      <c r="D251" s="322"/>
      <c r="E251" s="322"/>
      <c r="F251" s="322"/>
      <c r="G251" s="322"/>
      <c r="H251" s="322"/>
      <c r="I251" s="322"/>
      <c r="J251" s="322">
        <v>38803</v>
      </c>
      <c r="K251" s="322">
        <v>38320</v>
      </c>
      <c r="L251" s="322">
        <v>39081</v>
      </c>
      <c r="M251" s="322">
        <v>38492</v>
      </c>
      <c r="N251" s="322">
        <v>38207</v>
      </c>
      <c r="O251" s="322">
        <v>38066</v>
      </c>
      <c r="P251" s="322">
        <v>38417</v>
      </c>
      <c r="Q251" s="322">
        <v>38687</v>
      </c>
      <c r="R251" s="322">
        <v>39169</v>
      </c>
      <c r="S251" s="322">
        <v>38621</v>
      </c>
      <c r="T251" s="322">
        <v>36270</v>
      </c>
      <c r="U251" s="272">
        <v>39129</v>
      </c>
    </row>
    <row r="252" spans="2:21" ht="15.6" x14ac:dyDescent="0.3">
      <c r="B252" s="350" t="s">
        <v>258</v>
      </c>
      <c r="C252" s="350" t="s">
        <v>239</v>
      </c>
      <c r="D252" s="272"/>
      <c r="E252" s="272"/>
      <c r="F252" s="272"/>
      <c r="G252" s="272"/>
      <c r="H252" s="272"/>
      <c r="I252" s="272"/>
      <c r="J252" s="272"/>
      <c r="K252" s="272">
        <v>4223000</v>
      </c>
      <c r="L252" s="272"/>
      <c r="M252" s="272">
        <v>4314000</v>
      </c>
      <c r="N252" s="272">
        <v>4086000</v>
      </c>
      <c r="O252" s="272">
        <v>3980000</v>
      </c>
      <c r="P252" s="272">
        <v>3819000</v>
      </c>
      <c r="Q252" s="272">
        <v>3796000</v>
      </c>
      <c r="R252" s="272">
        <v>3799000</v>
      </c>
      <c r="S252" s="272">
        <v>3561000</v>
      </c>
      <c r="T252" s="272">
        <v>3760000</v>
      </c>
      <c r="U252" s="272">
        <v>3689000</v>
      </c>
    </row>
    <row r="253" spans="2:21" ht="15.6" x14ac:dyDescent="0.3">
      <c r="B253" s="350" t="s">
        <v>259</v>
      </c>
      <c r="C253" s="350" t="s">
        <v>239</v>
      </c>
      <c r="D253" s="272"/>
      <c r="E253" s="272"/>
      <c r="F253" s="272"/>
      <c r="G253" s="272"/>
      <c r="H253" s="272"/>
      <c r="I253" s="272"/>
      <c r="J253" s="272"/>
      <c r="K253" s="272">
        <v>383</v>
      </c>
      <c r="L253" s="272"/>
      <c r="M253" s="272">
        <v>333</v>
      </c>
      <c r="N253" s="272">
        <v>296</v>
      </c>
      <c r="O253" s="272">
        <v>272</v>
      </c>
      <c r="P253" s="272">
        <v>238</v>
      </c>
      <c r="Q253" s="272">
        <v>216</v>
      </c>
      <c r="R253" s="272">
        <v>193</v>
      </c>
      <c r="S253" s="272">
        <v>159</v>
      </c>
      <c r="T253" s="272">
        <v>153</v>
      </c>
      <c r="U253" s="272">
        <v>154</v>
      </c>
    </row>
    <row r="254" spans="2:21" ht="15.6" x14ac:dyDescent="0.3">
      <c r="B254" s="350" t="s">
        <v>207</v>
      </c>
      <c r="C254" s="350" t="s">
        <v>239</v>
      </c>
      <c r="D254" s="272"/>
      <c r="E254" s="272"/>
      <c r="F254" s="272"/>
      <c r="G254" s="272"/>
      <c r="H254" s="272"/>
      <c r="I254" s="272"/>
      <c r="J254" s="272">
        <v>30826</v>
      </c>
      <c r="K254" s="272">
        <v>31389</v>
      </c>
      <c r="L254" s="272">
        <v>32011</v>
      </c>
      <c r="M254" s="272">
        <v>31704</v>
      </c>
      <c r="N254" s="272">
        <v>31316</v>
      </c>
      <c r="O254" s="272">
        <v>31494</v>
      </c>
      <c r="P254" s="272">
        <v>31205</v>
      </c>
      <c r="Q254" s="272">
        <v>30563</v>
      </c>
      <c r="R254" s="272">
        <v>30307</v>
      </c>
      <c r="S254" s="272">
        <v>29349</v>
      </c>
      <c r="T254" s="272">
        <v>29926</v>
      </c>
      <c r="U254" s="272">
        <v>32990</v>
      </c>
    </row>
    <row r="255" spans="2:21" ht="15.6" x14ac:dyDescent="0.3">
      <c r="B255" s="351" t="s">
        <v>258</v>
      </c>
      <c r="C255" s="351" t="s">
        <v>240</v>
      </c>
      <c r="D255" s="322"/>
      <c r="E255" s="322"/>
      <c r="F255" s="322"/>
      <c r="G255" s="322"/>
      <c r="H255" s="322"/>
      <c r="I255" s="322"/>
      <c r="J255" s="322"/>
      <c r="K255" s="322">
        <v>285198000</v>
      </c>
      <c r="L255" s="322"/>
      <c r="M255" s="322">
        <v>307654000</v>
      </c>
      <c r="N255" s="322">
        <v>298532000</v>
      </c>
      <c r="O255" s="322">
        <v>290780000</v>
      </c>
      <c r="P255" s="322">
        <v>292692000</v>
      </c>
      <c r="Q255" s="322">
        <v>304931000</v>
      </c>
      <c r="R255" s="322">
        <v>310100000</v>
      </c>
      <c r="S255" s="322">
        <v>304992000</v>
      </c>
      <c r="T255" s="322">
        <v>321405000</v>
      </c>
      <c r="U255" s="272">
        <v>327389000</v>
      </c>
    </row>
    <row r="256" spans="2:21" ht="15.6" x14ac:dyDescent="0.3">
      <c r="B256" s="351" t="s">
        <v>259</v>
      </c>
      <c r="C256" s="351" t="s">
        <v>240</v>
      </c>
      <c r="D256" s="322"/>
      <c r="E256" s="322"/>
      <c r="F256" s="322"/>
      <c r="G256" s="322"/>
      <c r="H256" s="322"/>
      <c r="I256" s="322"/>
      <c r="J256" s="322"/>
      <c r="K256" s="322">
        <v>25890</v>
      </c>
      <c r="L256" s="322"/>
      <c r="M256" s="322">
        <v>23756</v>
      </c>
      <c r="N256" s="322">
        <v>21639</v>
      </c>
      <c r="O256" s="322">
        <v>19878</v>
      </c>
      <c r="P256" s="322">
        <v>18208</v>
      </c>
      <c r="Q256" s="322">
        <v>17383</v>
      </c>
      <c r="R256" s="322">
        <v>15789</v>
      </c>
      <c r="S256" s="322">
        <v>13618</v>
      </c>
      <c r="T256" s="322">
        <v>13102</v>
      </c>
      <c r="U256" s="272">
        <v>13646</v>
      </c>
    </row>
    <row r="257" spans="2:21" ht="15.6" x14ac:dyDescent="0.3">
      <c r="B257" s="351" t="s">
        <v>207</v>
      </c>
      <c r="C257" s="351" t="s">
        <v>240</v>
      </c>
      <c r="D257" s="322"/>
      <c r="E257" s="322"/>
      <c r="F257" s="322"/>
      <c r="G257" s="322"/>
      <c r="H257" s="322"/>
      <c r="I257" s="322"/>
      <c r="J257" s="322">
        <v>2199121</v>
      </c>
      <c r="K257" s="322">
        <v>2237220</v>
      </c>
      <c r="L257" s="322">
        <v>2273241</v>
      </c>
      <c r="M257" s="322">
        <v>2303653</v>
      </c>
      <c r="N257" s="322">
        <v>2351205</v>
      </c>
      <c r="O257" s="322">
        <v>2373037</v>
      </c>
      <c r="P257" s="322">
        <v>2410000</v>
      </c>
      <c r="Q257" s="322">
        <v>2442604</v>
      </c>
      <c r="R257" s="322">
        <v>2474123</v>
      </c>
      <c r="S257" s="322">
        <v>2513869</v>
      </c>
      <c r="T257" s="322">
        <v>2558029</v>
      </c>
      <c r="U257" s="272">
        <v>2614764</v>
      </c>
    </row>
    <row r="258" spans="2:21" ht="15.6" x14ac:dyDescent="0.3">
      <c r="B258" s="350" t="s">
        <v>258</v>
      </c>
      <c r="C258" s="350" t="s">
        <v>241</v>
      </c>
      <c r="D258" s="272"/>
      <c r="E258" s="272"/>
      <c r="F258" s="272"/>
      <c r="G258" s="272"/>
      <c r="H258" s="272"/>
      <c r="I258" s="272"/>
      <c r="J258" s="272"/>
      <c r="K258" s="272">
        <v>1467000</v>
      </c>
      <c r="L258" s="272"/>
      <c r="M258" s="272">
        <v>1493000</v>
      </c>
      <c r="N258" s="272">
        <v>1436000</v>
      </c>
      <c r="O258" s="272">
        <v>1399000</v>
      </c>
      <c r="P258" s="272">
        <v>1410000</v>
      </c>
      <c r="Q258" s="272">
        <v>1435000</v>
      </c>
      <c r="R258" s="272">
        <v>1444000</v>
      </c>
      <c r="S258" s="272">
        <v>1379000</v>
      </c>
      <c r="T258" s="272">
        <v>1398000</v>
      </c>
      <c r="U258" s="272">
        <v>1404000</v>
      </c>
    </row>
    <row r="259" spans="2:21" ht="15.6" x14ac:dyDescent="0.3">
      <c r="B259" s="350" t="s">
        <v>259</v>
      </c>
      <c r="C259" s="350" t="s">
        <v>241</v>
      </c>
      <c r="D259" s="272"/>
      <c r="E259" s="272"/>
      <c r="F259" s="272"/>
      <c r="G259" s="272"/>
      <c r="H259" s="272"/>
      <c r="I259" s="272"/>
      <c r="J259" s="272"/>
      <c r="K259" s="272">
        <v>133</v>
      </c>
      <c r="L259" s="272"/>
      <c r="M259" s="272">
        <v>115</v>
      </c>
      <c r="N259" s="272">
        <v>104</v>
      </c>
      <c r="O259" s="272">
        <v>96</v>
      </c>
      <c r="P259" s="272">
        <v>88</v>
      </c>
      <c r="Q259" s="272">
        <v>82</v>
      </c>
      <c r="R259" s="272">
        <v>74</v>
      </c>
      <c r="S259" s="272">
        <v>62</v>
      </c>
      <c r="T259" s="272">
        <v>57</v>
      </c>
      <c r="U259" s="272">
        <v>59</v>
      </c>
    </row>
    <row r="260" spans="2:21" ht="15.6" x14ac:dyDescent="0.3">
      <c r="B260" s="350" t="s">
        <v>207</v>
      </c>
      <c r="C260" s="350" t="s">
        <v>241</v>
      </c>
      <c r="D260" s="272"/>
      <c r="E260" s="272"/>
      <c r="F260" s="272"/>
      <c r="G260" s="272"/>
      <c r="H260" s="272"/>
      <c r="I260" s="272"/>
      <c r="J260" s="272">
        <v>11962</v>
      </c>
      <c r="K260" s="272">
        <v>11914</v>
      </c>
      <c r="L260" s="272">
        <v>11954</v>
      </c>
      <c r="M260" s="272">
        <v>11834</v>
      </c>
      <c r="N260" s="272">
        <v>11766</v>
      </c>
      <c r="O260" s="272">
        <v>11716</v>
      </c>
      <c r="P260" s="272">
        <v>11600</v>
      </c>
      <c r="Q260" s="272">
        <v>11590</v>
      </c>
      <c r="R260" s="272">
        <v>11523</v>
      </c>
      <c r="S260" s="272">
        <v>11387</v>
      </c>
      <c r="T260" s="272">
        <v>11139</v>
      </c>
      <c r="U260" s="272">
        <v>11513</v>
      </c>
    </row>
    <row r="261" spans="2:21" ht="15.6" x14ac:dyDescent="0.3">
      <c r="B261" s="351" t="s">
        <v>258</v>
      </c>
      <c r="C261" s="351" t="s">
        <v>183</v>
      </c>
      <c r="D261" s="322"/>
      <c r="E261" s="322"/>
      <c r="F261" s="322"/>
      <c r="G261" s="322"/>
      <c r="H261" s="322"/>
      <c r="I261" s="322"/>
      <c r="J261" s="322"/>
      <c r="K261" s="322">
        <v>19203000</v>
      </c>
      <c r="L261" s="322"/>
      <c r="M261" s="322">
        <v>20220000</v>
      </c>
      <c r="N261" s="322">
        <v>19461000</v>
      </c>
      <c r="O261" s="322">
        <v>18956000</v>
      </c>
      <c r="P261" s="322">
        <v>18146000</v>
      </c>
      <c r="Q261" s="322">
        <v>18564000</v>
      </c>
      <c r="R261" s="322">
        <v>19116000</v>
      </c>
      <c r="S261" s="322">
        <v>18750000</v>
      </c>
      <c r="T261" s="322">
        <v>19799000</v>
      </c>
      <c r="U261" s="272">
        <v>20322000</v>
      </c>
    </row>
    <row r="262" spans="2:21" ht="15.6" x14ac:dyDescent="0.3">
      <c r="B262" s="351" t="s">
        <v>259</v>
      </c>
      <c r="C262" s="351" t="s">
        <v>183</v>
      </c>
      <c r="D262" s="322"/>
      <c r="E262" s="322"/>
      <c r="F262" s="322"/>
      <c r="G262" s="322"/>
      <c r="H262" s="322"/>
      <c r="I262" s="322"/>
      <c r="J262" s="322"/>
      <c r="K262" s="322">
        <v>1743</v>
      </c>
      <c r="L262" s="322"/>
      <c r="M262" s="322">
        <v>1561</v>
      </c>
      <c r="N262" s="322">
        <v>1411</v>
      </c>
      <c r="O262" s="322">
        <v>1296</v>
      </c>
      <c r="P262" s="322">
        <v>1129</v>
      </c>
      <c r="Q262" s="322">
        <v>1068</v>
      </c>
      <c r="R262" s="322">
        <v>973</v>
      </c>
      <c r="S262" s="322">
        <v>837</v>
      </c>
      <c r="T262" s="322">
        <v>807</v>
      </c>
      <c r="U262" s="272">
        <v>847</v>
      </c>
    </row>
    <row r="263" spans="2:21" ht="15.6" x14ac:dyDescent="0.3">
      <c r="B263" s="351" t="s">
        <v>207</v>
      </c>
      <c r="C263" s="351" t="s">
        <v>183</v>
      </c>
      <c r="D263" s="322"/>
      <c r="E263" s="322"/>
      <c r="F263" s="322"/>
      <c r="G263" s="322"/>
      <c r="H263" s="322"/>
      <c r="I263" s="322"/>
      <c r="J263" s="322">
        <v>141246</v>
      </c>
      <c r="K263" s="322">
        <v>142996</v>
      </c>
      <c r="L263" s="322">
        <v>145870</v>
      </c>
      <c r="M263" s="322">
        <v>146264</v>
      </c>
      <c r="N263" s="322">
        <v>147456</v>
      </c>
      <c r="O263" s="322">
        <v>148770</v>
      </c>
      <c r="P263" s="322">
        <v>149621</v>
      </c>
      <c r="Q263" s="322">
        <v>150806</v>
      </c>
      <c r="R263" s="322">
        <v>152518</v>
      </c>
      <c r="S263" s="322">
        <v>154572</v>
      </c>
      <c r="T263" s="322">
        <v>157599</v>
      </c>
      <c r="U263" s="272">
        <v>164697</v>
      </c>
    </row>
    <row r="264" spans="2:21" ht="15.6" x14ac:dyDescent="0.3">
      <c r="B264" s="350" t="s">
        <v>258</v>
      </c>
      <c r="C264" s="350" t="s">
        <v>184</v>
      </c>
      <c r="D264" s="272"/>
      <c r="E264" s="272"/>
      <c r="F264" s="272"/>
      <c r="G264" s="272"/>
      <c r="H264" s="272"/>
      <c r="I264" s="272"/>
      <c r="J264" s="272"/>
      <c r="K264" s="272">
        <v>10348000</v>
      </c>
      <c r="L264" s="272"/>
      <c r="M264" s="272">
        <v>10935000</v>
      </c>
      <c r="N264" s="272">
        <v>10424000</v>
      </c>
      <c r="O264" s="272">
        <v>10153000</v>
      </c>
      <c r="P264" s="272">
        <v>9979000</v>
      </c>
      <c r="Q264" s="272">
        <v>10128000</v>
      </c>
      <c r="R264" s="272">
        <v>10376000</v>
      </c>
      <c r="S264" s="272">
        <v>10262000</v>
      </c>
      <c r="T264" s="272">
        <v>10701000</v>
      </c>
      <c r="U264" s="272">
        <v>10919000</v>
      </c>
    </row>
    <row r="265" spans="2:21" ht="15.6" x14ac:dyDescent="0.3">
      <c r="B265" s="350" t="s">
        <v>259</v>
      </c>
      <c r="C265" s="350" t="s">
        <v>184</v>
      </c>
      <c r="D265" s="272"/>
      <c r="E265" s="272"/>
      <c r="F265" s="272"/>
      <c r="G265" s="272"/>
      <c r="H265" s="272"/>
      <c r="I265" s="272"/>
      <c r="J265" s="272"/>
      <c r="K265" s="272">
        <v>939</v>
      </c>
      <c r="L265" s="272"/>
      <c r="M265" s="272">
        <v>844</v>
      </c>
      <c r="N265" s="272">
        <v>756</v>
      </c>
      <c r="O265" s="272">
        <v>694</v>
      </c>
      <c r="P265" s="272">
        <v>621</v>
      </c>
      <c r="Q265" s="272">
        <v>577</v>
      </c>
      <c r="R265" s="272">
        <v>528</v>
      </c>
      <c r="S265" s="272">
        <v>458</v>
      </c>
      <c r="T265" s="272">
        <v>436</v>
      </c>
      <c r="U265" s="272">
        <v>455</v>
      </c>
    </row>
    <row r="266" spans="2:21" ht="15.6" x14ac:dyDescent="0.3">
      <c r="B266" s="350" t="s">
        <v>207</v>
      </c>
      <c r="C266" s="350" t="s">
        <v>184</v>
      </c>
      <c r="D266" s="272"/>
      <c r="E266" s="272"/>
      <c r="F266" s="272"/>
      <c r="G266" s="272"/>
      <c r="H266" s="272"/>
      <c r="I266" s="272"/>
      <c r="J266" s="272">
        <v>78877</v>
      </c>
      <c r="K266" s="272">
        <v>80110</v>
      </c>
      <c r="L266" s="272">
        <v>81807</v>
      </c>
      <c r="M266" s="272">
        <v>82491</v>
      </c>
      <c r="N266" s="272">
        <v>82174</v>
      </c>
      <c r="O266" s="272">
        <v>82391</v>
      </c>
      <c r="P266" s="272">
        <v>82223</v>
      </c>
      <c r="Q266" s="272">
        <v>82031</v>
      </c>
      <c r="R266" s="272">
        <v>82783</v>
      </c>
      <c r="S266" s="272">
        <v>84587</v>
      </c>
      <c r="T266" s="272">
        <v>85164</v>
      </c>
      <c r="U266" s="272">
        <v>88706</v>
      </c>
    </row>
    <row r="267" spans="2:21" ht="15.6" x14ac:dyDescent="0.3">
      <c r="B267" s="351" t="s">
        <v>258</v>
      </c>
      <c r="C267" s="351" t="s">
        <v>185</v>
      </c>
      <c r="D267" s="322"/>
      <c r="E267" s="322"/>
      <c r="F267" s="322"/>
      <c r="G267" s="322"/>
      <c r="H267" s="322"/>
      <c r="I267" s="322"/>
      <c r="J267" s="322"/>
      <c r="K267" s="322">
        <v>742000</v>
      </c>
      <c r="L267" s="322"/>
      <c r="M267" s="322">
        <v>708000</v>
      </c>
      <c r="N267" s="322">
        <v>696000</v>
      </c>
      <c r="O267" s="322">
        <v>678000</v>
      </c>
      <c r="P267" s="322">
        <v>765000</v>
      </c>
      <c r="Q267" s="322">
        <v>755000</v>
      </c>
      <c r="R267" s="322">
        <v>756000</v>
      </c>
      <c r="S267" s="322">
        <v>723000</v>
      </c>
      <c r="T267" s="322">
        <v>754000</v>
      </c>
      <c r="U267" s="272">
        <v>743000</v>
      </c>
    </row>
    <row r="268" spans="2:21" ht="15.6" x14ac:dyDescent="0.3">
      <c r="B268" s="351" t="s">
        <v>259</v>
      </c>
      <c r="C268" s="351" t="s">
        <v>185</v>
      </c>
      <c r="D268" s="322"/>
      <c r="E268" s="322"/>
      <c r="F268" s="322"/>
      <c r="G268" s="322"/>
      <c r="H268" s="322"/>
      <c r="I268" s="322"/>
      <c r="J268" s="322"/>
      <c r="K268" s="322">
        <v>67</v>
      </c>
      <c r="L268" s="322"/>
      <c r="M268" s="322">
        <v>55</v>
      </c>
      <c r="N268" s="322">
        <v>50</v>
      </c>
      <c r="O268" s="322">
        <v>46</v>
      </c>
      <c r="P268" s="322">
        <v>48</v>
      </c>
      <c r="Q268" s="322">
        <v>43</v>
      </c>
      <c r="R268" s="322">
        <v>38</v>
      </c>
      <c r="S268" s="322">
        <v>32</v>
      </c>
      <c r="T268" s="322">
        <v>31</v>
      </c>
      <c r="U268" s="272">
        <v>31</v>
      </c>
    </row>
    <row r="269" spans="2:21" ht="15.6" x14ac:dyDescent="0.3">
      <c r="B269" s="351" t="s">
        <v>207</v>
      </c>
      <c r="C269" s="351" t="s">
        <v>185</v>
      </c>
      <c r="D269" s="322"/>
      <c r="E269" s="322"/>
      <c r="F269" s="322"/>
      <c r="G269" s="322"/>
      <c r="H269" s="322"/>
      <c r="I269" s="322"/>
      <c r="J269" s="322">
        <v>6298</v>
      </c>
      <c r="K269" s="322">
        <v>6125</v>
      </c>
      <c r="L269" s="322">
        <v>6061</v>
      </c>
      <c r="M269" s="322">
        <v>5788</v>
      </c>
      <c r="N269" s="322">
        <v>5918</v>
      </c>
      <c r="O269" s="322">
        <v>6054</v>
      </c>
      <c r="P269" s="322">
        <v>6094</v>
      </c>
      <c r="Q269" s="322">
        <v>6053</v>
      </c>
      <c r="R269" s="322">
        <v>6032</v>
      </c>
      <c r="S269" s="322">
        <v>5957</v>
      </c>
      <c r="T269" s="322">
        <v>5992</v>
      </c>
      <c r="U269" s="272">
        <v>5561</v>
      </c>
    </row>
    <row r="270" spans="2:21" ht="15.6" x14ac:dyDescent="0.3">
      <c r="B270" s="350" t="s">
        <v>258</v>
      </c>
      <c r="C270" s="350" t="s">
        <v>242</v>
      </c>
      <c r="D270" s="272"/>
      <c r="E270" s="272"/>
      <c r="F270" s="272"/>
      <c r="G270" s="272"/>
      <c r="H270" s="272"/>
      <c r="I270" s="272"/>
      <c r="J270" s="272"/>
      <c r="K270" s="272">
        <v>11183000</v>
      </c>
      <c r="L270" s="272"/>
      <c r="M270" s="272">
        <v>11499000</v>
      </c>
      <c r="N270" s="272">
        <v>10852000</v>
      </c>
      <c r="O270" s="272">
        <v>10570000</v>
      </c>
      <c r="P270" s="272">
        <v>9930000</v>
      </c>
      <c r="Q270" s="272">
        <v>10051000</v>
      </c>
      <c r="R270" s="272">
        <v>10270000</v>
      </c>
      <c r="S270" s="272">
        <v>9936000</v>
      </c>
      <c r="T270" s="272">
        <v>10137000</v>
      </c>
      <c r="U270" s="272">
        <v>11019000</v>
      </c>
    </row>
    <row r="271" spans="2:21" ht="15.6" x14ac:dyDescent="0.3">
      <c r="B271" s="350" t="s">
        <v>259</v>
      </c>
      <c r="C271" s="350" t="s">
        <v>242</v>
      </c>
      <c r="D271" s="272"/>
      <c r="E271" s="272"/>
      <c r="F271" s="272"/>
      <c r="G271" s="272"/>
      <c r="H271" s="272"/>
      <c r="I271" s="272"/>
      <c r="J271" s="272"/>
      <c r="K271" s="272">
        <v>1015</v>
      </c>
      <c r="L271" s="272"/>
      <c r="M271" s="272">
        <v>888</v>
      </c>
      <c r="N271" s="272">
        <v>787</v>
      </c>
      <c r="O271" s="272">
        <v>723</v>
      </c>
      <c r="P271" s="272">
        <v>618</v>
      </c>
      <c r="Q271" s="272">
        <v>573</v>
      </c>
      <c r="R271" s="272">
        <v>523</v>
      </c>
      <c r="S271" s="272">
        <v>444</v>
      </c>
      <c r="T271" s="272">
        <v>413</v>
      </c>
      <c r="U271" s="272">
        <v>459</v>
      </c>
    </row>
    <row r="272" spans="2:21" ht="15.6" x14ac:dyDescent="0.3">
      <c r="B272" s="350" t="s">
        <v>207</v>
      </c>
      <c r="C272" s="350" t="s">
        <v>242</v>
      </c>
      <c r="D272" s="272"/>
      <c r="E272" s="272"/>
      <c r="F272" s="272"/>
      <c r="G272" s="272"/>
      <c r="H272" s="272"/>
      <c r="I272" s="272"/>
      <c r="J272" s="272">
        <v>80351</v>
      </c>
      <c r="K272" s="272">
        <v>81322</v>
      </c>
      <c r="L272" s="272">
        <v>82327</v>
      </c>
      <c r="M272" s="272">
        <v>82368</v>
      </c>
      <c r="N272" s="272">
        <v>81424</v>
      </c>
      <c r="O272" s="272">
        <v>81639</v>
      </c>
      <c r="P272" s="272">
        <v>81634</v>
      </c>
      <c r="Q272" s="272">
        <v>81152</v>
      </c>
      <c r="R272" s="272">
        <v>81940</v>
      </c>
      <c r="S272" s="272">
        <v>81841</v>
      </c>
      <c r="T272" s="272">
        <v>80622</v>
      </c>
      <c r="U272" s="272">
        <v>87628</v>
      </c>
    </row>
    <row r="273" spans="2:21" ht="15.6" x14ac:dyDescent="0.3">
      <c r="B273" s="351" t="s">
        <v>258</v>
      </c>
      <c r="C273" s="351" t="s">
        <v>187</v>
      </c>
      <c r="D273" s="322"/>
      <c r="E273" s="322"/>
      <c r="F273" s="322"/>
      <c r="G273" s="322"/>
      <c r="H273" s="322"/>
      <c r="I273" s="322"/>
      <c r="J273" s="322"/>
      <c r="K273" s="322">
        <v>7149000</v>
      </c>
      <c r="L273" s="322"/>
      <c r="M273" s="322">
        <v>7522000</v>
      </c>
      <c r="N273" s="322">
        <v>7297000</v>
      </c>
      <c r="O273" s="322">
        <v>7107000</v>
      </c>
      <c r="P273" s="322">
        <v>7925000</v>
      </c>
      <c r="Q273" s="322">
        <v>7903000</v>
      </c>
      <c r="R273" s="322">
        <v>8313000</v>
      </c>
      <c r="S273" s="322">
        <v>7752000</v>
      </c>
      <c r="T273" s="322">
        <v>8353000</v>
      </c>
      <c r="U273" s="272">
        <v>7858000</v>
      </c>
    </row>
    <row r="274" spans="2:21" ht="15.6" x14ac:dyDescent="0.3">
      <c r="B274" s="351" t="s">
        <v>259</v>
      </c>
      <c r="C274" s="351" t="s">
        <v>187</v>
      </c>
      <c r="D274" s="322"/>
      <c r="E274" s="322"/>
      <c r="F274" s="322"/>
      <c r="G274" s="322"/>
      <c r="H274" s="322"/>
      <c r="I274" s="322"/>
      <c r="J274" s="322"/>
      <c r="K274" s="322">
        <v>649</v>
      </c>
      <c r="L274" s="322"/>
      <c r="M274" s="322">
        <v>581</v>
      </c>
      <c r="N274" s="322">
        <v>529</v>
      </c>
      <c r="O274" s="322">
        <v>486</v>
      </c>
      <c r="P274" s="322">
        <v>493</v>
      </c>
      <c r="Q274" s="322">
        <v>451</v>
      </c>
      <c r="R274" s="322">
        <v>423</v>
      </c>
      <c r="S274" s="322">
        <v>346</v>
      </c>
      <c r="T274" s="322">
        <v>340</v>
      </c>
      <c r="U274" s="272">
        <v>328</v>
      </c>
    </row>
    <row r="275" spans="2:21" ht="15.6" x14ac:dyDescent="0.3">
      <c r="B275" s="351" t="s">
        <v>207</v>
      </c>
      <c r="C275" s="351" t="s">
        <v>187</v>
      </c>
      <c r="D275" s="322"/>
      <c r="E275" s="322"/>
      <c r="F275" s="322"/>
      <c r="G275" s="322"/>
      <c r="H275" s="322"/>
      <c r="I275" s="322"/>
      <c r="J275" s="322">
        <v>59329</v>
      </c>
      <c r="K275" s="322">
        <v>60214</v>
      </c>
      <c r="L275" s="322">
        <v>60992</v>
      </c>
      <c r="M275" s="322">
        <v>60215</v>
      </c>
      <c r="N275" s="322">
        <v>60603</v>
      </c>
      <c r="O275" s="322">
        <v>61768</v>
      </c>
      <c r="P275" s="322">
        <v>63088</v>
      </c>
      <c r="Q275" s="322">
        <v>64480</v>
      </c>
      <c r="R275" s="322">
        <v>66321</v>
      </c>
      <c r="S275" s="322">
        <v>63918</v>
      </c>
      <c r="T275" s="322">
        <v>66504</v>
      </c>
      <c r="U275" s="272">
        <v>65711</v>
      </c>
    </row>
    <row r="276" spans="2:21" ht="15.6" x14ac:dyDescent="0.3">
      <c r="B276" s="350" t="s">
        <v>258</v>
      </c>
      <c r="C276" s="350" t="s">
        <v>188</v>
      </c>
      <c r="D276" s="272"/>
      <c r="E276" s="272"/>
      <c r="F276" s="272"/>
      <c r="G276" s="272"/>
      <c r="H276" s="272"/>
      <c r="I276" s="272"/>
      <c r="J276" s="272"/>
      <c r="K276" s="272">
        <v>2676000</v>
      </c>
      <c r="L276" s="272"/>
      <c r="M276" s="272">
        <v>2723000</v>
      </c>
      <c r="N276" s="272">
        <v>2629000</v>
      </c>
      <c r="O276" s="272">
        <v>2561000</v>
      </c>
      <c r="P276" s="272">
        <v>2461000</v>
      </c>
      <c r="Q276" s="272">
        <v>2546000</v>
      </c>
      <c r="R276" s="272">
        <v>2497000</v>
      </c>
      <c r="S276" s="272">
        <v>2346000</v>
      </c>
      <c r="T276" s="272">
        <v>2557000</v>
      </c>
      <c r="U276" s="272">
        <v>2533000</v>
      </c>
    </row>
    <row r="277" spans="2:21" ht="15.6" x14ac:dyDescent="0.3">
      <c r="B277" s="350" t="s">
        <v>259</v>
      </c>
      <c r="C277" s="350" t="s">
        <v>188</v>
      </c>
      <c r="D277" s="272"/>
      <c r="E277" s="272"/>
      <c r="F277" s="272"/>
      <c r="G277" s="272"/>
      <c r="H277" s="272"/>
      <c r="I277" s="272"/>
      <c r="J277" s="272"/>
      <c r="K277" s="272">
        <v>243</v>
      </c>
      <c r="L277" s="272"/>
      <c r="M277" s="272">
        <v>210</v>
      </c>
      <c r="N277" s="272">
        <v>191</v>
      </c>
      <c r="O277" s="272">
        <v>175</v>
      </c>
      <c r="P277" s="272">
        <v>153</v>
      </c>
      <c r="Q277" s="272">
        <v>145</v>
      </c>
      <c r="R277" s="272">
        <v>127</v>
      </c>
      <c r="S277" s="272">
        <v>106</v>
      </c>
      <c r="T277" s="272">
        <v>104</v>
      </c>
      <c r="U277" s="272">
        <v>106</v>
      </c>
    </row>
    <row r="278" spans="2:21" ht="15.6" x14ac:dyDescent="0.3">
      <c r="B278" s="350" t="s">
        <v>207</v>
      </c>
      <c r="C278" s="350" t="s">
        <v>188</v>
      </c>
      <c r="D278" s="272"/>
      <c r="E278" s="272"/>
      <c r="F278" s="272"/>
      <c r="G278" s="272"/>
      <c r="H278" s="272"/>
      <c r="I278" s="272"/>
      <c r="J278" s="272">
        <v>19711</v>
      </c>
      <c r="K278" s="272">
        <v>19791</v>
      </c>
      <c r="L278" s="272">
        <v>20025</v>
      </c>
      <c r="M278" s="272">
        <v>19882</v>
      </c>
      <c r="N278" s="272">
        <v>19987</v>
      </c>
      <c r="O278" s="272">
        <v>20106</v>
      </c>
      <c r="P278" s="272">
        <v>19925</v>
      </c>
      <c r="Q278" s="272">
        <v>19910</v>
      </c>
      <c r="R278" s="272">
        <v>19921</v>
      </c>
      <c r="S278" s="272">
        <v>19456</v>
      </c>
      <c r="T278" s="272">
        <v>20328</v>
      </c>
      <c r="U278" s="272">
        <v>21139</v>
      </c>
    </row>
    <row r="279" spans="2:21" ht="15.6" x14ac:dyDescent="0.3">
      <c r="B279" s="351" t="s">
        <v>258</v>
      </c>
      <c r="C279" s="351" t="s">
        <v>243</v>
      </c>
      <c r="D279" s="322"/>
      <c r="E279" s="322"/>
      <c r="F279" s="322"/>
      <c r="G279" s="322"/>
      <c r="H279" s="322"/>
      <c r="I279" s="322"/>
      <c r="J279" s="322"/>
      <c r="K279" s="322">
        <v>2442000</v>
      </c>
      <c r="L279" s="322"/>
      <c r="M279" s="322">
        <v>2419000</v>
      </c>
      <c r="N279" s="322">
        <v>2315000</v>
      </c>
      <c r="O279" s="322">
        <v>2255000</v>
      </c>
      <c r="P279" s="322">
        <v>2321000</v>
      </c>
      <c r="Q279" s="322">
        <v>2308000</v>
      </c>
      <c r="R279" s="322">
        <v>2277000</v>
      </c>
      <c r="S279" s="322">
        <v>2127000</v>
      </c>
      <c r="T279" s="322">
        <v>2180000</v>
      </c>
      <c r="U279" s="653" t="s">
        <v>589</v>
      </c>
    </row>
    <row r="280" spans="2:21" ht="15.6" x14ac:dyDescent="0.3">
      <c r="B280" s="351" t="s">
        <v>259</v>
      </c>
      <c r="C280" s="351" t="s">
        <v>243</v>
      </c>
      <c r="D280" s="322"/>
      <c r="E280" s="322"/>
      <c r="F280" s="322"/>
      <c r="G280" s="322"/>
      <c r="H280" s="322"/>
      <c r="I280" s="322"/>
      <c r="J280" s="322"/>
      <c r="K280" s="322">
        <v>222</v>
      </c>
      <c r="L280" s="322"/>
      <c r="M280" s="322">
        <v>187</v>
      </c>
      <c r="N280" s="322">
        <v>168</v>
      </c>
      <c r="O280" s="322">
        <v>168</v>
      </c>
      <c r="P280" s="322">
        <v>144</v>
      </c>
      <c r="Q280" s="322">
        <v>132</v>
      </c>
      <c r="R280" s="322">
        <v>116</v>
      </c>
      <c r="S280" s="322">
        <v>2127</v>
      </c>
      <c r="T280" s="322">
        <v>89</v>
      </c>
      <c r="U280" s="653" t="s">
        <v>589</v>
      </c>
    </row>
    <row r="281" spans="2:21" ht="15.6" x14ac:dyDescent="0.3">
      <c r="B281" s="351" t="s">
        <v>207</v>
      </c>
      <c r="C281" s="351" t="s">
        <v>243</v>
      </c>
      <c r="D281" s="322"/>
      <c r="E281" s="322"/>
      <c r="F281" s="322"/>
      <c r="G281" s="322"/>
      <c r="H281" s="322"/>
      <c r="I281" s="322"/>
      <c r="J281" s="322">
        <v>19980</v>
      </c>
      <c r="K281" s="322">
        <v>19755</v>
      </c>
      <c r="L281" s="322">
        <v>19621</v>
      </c>
      <c r="M281" s="322">
        <v>19169</v>
      </c>
      <c r="N281" s="322">
        <v>19115</v>
      </c>
      <c r="O281" s="322">
        <v>19135</v>
      </c>
      <c r="P281" s="322">
        <v>18892</v>
      </c>
      <c r="Q281" s="322">
        <v>18536</v>
      </c>
      <c r="R281" s="322">
        <v>18165</v>
      </c>
      <c r="S281" s="322">
        <v>17533</v>
      </c>
      <c r="T281" s="322">
        <v>17389</v>
      </c>
      <c r="U281" s="272">
        <v>18854</v>
      </c>
    </row>
    <row r="282" spans="2:21" ht="15.6" x14ac:dyDescent="0.3">
      <c r="B282" s="350" t="s">
        <v>258</v>
      </c>
      <c r="C282" s="350" t="s">
        <v>244</v>
      </c>
      <c r="D282" s="272"/>
      <c r="E282" s="272"/>
      <c r="F282" s="272"/>
      <c r="G282" s="272"/>
      <c r="H282" s="272"/>
      <c r="I282" s="272"/>
      <c r="J282" s="272"/>
      <c r="K282" s="272">
        <v>4642000</v>
      </c>
      <c r="L282" s="272"/>
      <c r="M282" s="272">
        <v>5061000</v>
      </c>
      <c r="N282" s="272">
        <v>4920000</v>
      </c>
      <c r="O282" s="272">
        <v>4792000</v>
      </c>
      <c r="P282" s="272">
        <v>5081000</v>
      </c>
      <c r="Q282" s="272">
        <v>5018000</v>
      </c>
      <c r="R282" s="272">
        <v>5201000</v>
      </c>
      <c r="S282" s="272">
        <v>4899000</v>
      </c>
      <c r="T282" s="272">
        <v>5218000</v>
      </c>
      <c r="U282" s="272">
        <v>5465000</v>
      </c>
    </row>
    <row r="283" spans="2:21" ht="15.6" x14ac:dyDescent="0.3">
      <c r="B283" s="350" t="s">
        <v>259</v>
      </c>
      <c r="C283" s="350" t="s">
        <v>244</v>
      </c>
      <c r="D283" s="272"/>
      <c r="E283" s="272"/>
      <c r="F283" s="272"/>
      <c r="G283" s="272"/>
      <c r="H283" s="272"/>
      <c r="I283" s="272"/>
      <c r="J283" s="272"/>
      <c r="K283" s="272">
        <v>421</v>
      </c>
      <c r="L283" s="272"/>
      <c r="M283" s="272">
        <v>391</v>
      </c>
      <c r="N283" s="272">
        <v>357</v>
      </c>
      <c r="O283" s="272">
        <v>328</v>
      </c>
      <c r="P283" s="272">
        <v>316</v>
      </c>
      <c r="Q283" s="272">
        <v>286</v>
      </c>
      <c r="R283" s="272">
        <v>265</v>
      </c>
      <c r="S283" s="272">
        <v>219</v>
      </c>
      <c r="T283" s="272">
        <v>213</v>
      </c>
      <c r="U283" s="272">
        <v>228</v>
      </c>
    </row>
    <row r="284" spans="2:21" ht="15.6" x14ac:dyDescent="0.3">
      <c r="B284" s="350" t="s">
        <v>207</v>
      </c>
      <c r="C284" s="350" t="s">
        <v>244</v>
      </c>
      <c r="D284" s="272"/>
      <c r="E284" s="272"/>
      <c r="F284" s="272"/>
      <c r="G284" s="272"/>
      <c r="H284" s="272"/>
      <c r="I284" s="272"/>
      <c r="J284" s="272">
        <v>36627</v>
      </c>
      <c r="K284" s="272">
        <v>37124</v>
      </c>
      <c r="L284" s="272">
        <v>37847</v>
      </c>
      <c r="M284" s="272">
        <v>38059</v>
      </c>
      <c r="N284" s="272">
        <v>38788</v>
      </c>
      <c r="O284" s="272">
        <v>39513</v>
      </c>
      <c r="P284" s="272">
        <v>40618</v>
      </c>
      <c r="Q284" s="272">
        <v>40867</v>
      </c>
      <c r="R284" s="272">
        <v>41496</v>
      </c>
      <c r="S284" s="272">
        <v>40378</v>
      </c>
      <c r="T284" s="272">
        <v>41531</v>
      </c>
      <c r="U284" s="272">
        <v>44637</v>
      </c>
    </row>
    <row r="285" spans="2:21" ht="15.6" x14ac:dyDescent="0.3">
      <c r="B285" s="350" t="s">
        <v>258</v>
      </c>
      <c r="C285" s="350" t="s">
        <v>346</v>
      </c>
      <c r="D285" s="272"/>
      <c r="E285" s="272"/>
      <c r="F285" s="272"/>
      <c r="G285" s="272"/>
      <c r="H285" s="272"/>
      <c r="I285" s="272"/>
      <c r="J285" s="272"/>
      <c r="K285" s="272"/>
      <c r="L285" s="272"/>
      <c r="M285" s="272">
        <v>5765000</v>
      </c>
      <c r="N285" s="272">
        <v>5531000</v>
      </c>
      <c r="O285" s="272">
        <v>5387000</v>
      </c>
      <c r="P285" s="272">
        <v>5341000</v>
      </c>
      <c r="Q285" s="272">
        <v>5434000</v>
      </c>
      <c r="R285" s="272">
        <v>5624000</v>
      </c>
      <c r="S285" s="272">
        <v>5516000</v>
      </c>
      <c r="T285" s="272">
        <v>5803000</v>
      </c>
      <c r="U285" s="272">
        <v>5883000</v>
      </c>
    </row>
    <row r="286" spans="2:21" ht="15.6" x14ac:dyDescent="0.3">
      <c r="B286" s="350" t="s">
        <v>259</v>
      </c>
      <c r="C286" s="350" t="s">
        <v>346</v>
      </c>
      <c r="D286" s="272"/>
      <c r="E286" s="272"/>
      <c r="F286" s="272"/>
      <c r="G286" s="272"/>
      <c r="H286" s="272"/>
      <c r="I286" s="272"/>
      <c r="J286" s="272"/>
      <c r="K286" s="272"/>
      <c r="L286" s="272"/>
      <c r="M286" s="272">
        <v>445</v>
      </c>
      <c r="N286" s="272">
        <v>401</v>
      </c>
      <c r="O286" s="272">
        <v>368</v>
      </c>
      <c r="P286" s="272">
        <v>332</v>
      </c>
      <c r="Q286" s="272">
        <v>310</v>
      </c>
      <c r="R286" s="272">
        <v>286</v>
      </c>
      <c r="S286" s="272">
        <v>246</v>
      </c>
      <c r="T286" s="272">
        <v>237</v>
      </c>
      <c r="U286" s="272">
        <v>245</v>
      </c>
    </row>
    <row r="287" spans="2:21" ht="15.6" x14ac:dyDescent="0.3">
      <c r="B287" s="350" t="s">
        <v>207</v>
      </c>
      <c r="C287" s="350" t="s">
        <v>346</v>
      </c>
      <c r="D287" s="272"/>
      <c r="E287" s="272"/>
      <c r="F287" s="272"/>
      <c r="G287" s="272"/>
      <c r="H287" s="272"/>
      <c r="I287" s="272"/>
      <c r="J287" s="272"/>
      <c r="K287" s="272"/>
      <c r="L287" s="272"/>
      <c r="M287" s="272">
        <v>43647</v>
      </c>
      <c r="N287" s="272">
        <v>43628</v>
      </c>
      <c r="O287" s="272">
        <v>43928</v>
      </c>
      <c r="P287" s="272">
        <v>44020</v>
      </c>
      <c r="Q287" s="272">
        <v>44243</v>
      </c>
      <c r="R287" s="272">
        <v>44869</v>
      </c>
      <c r="S287" s="272">
        <v>45448</v>
      </c>
      <c r="T287" s="272">
        <v>46175</v>
      </c>
      <c r="U287" s="272">
        <v>47346</v>
      </c>
    </row>
    <row r="288" spans="2:21" ht="15.6" x14ac:dyDescent="0.3">
      <c r="B288" s="351" t="s">
        <v>258</v>
      </c>
      <c r="C288" s="352" t="s">
        <v>191</v>
      </c>
      <c r="D288" s="322"/>
      <c r="E288" s="322"/>
      <c r="F288" s="322"/>
      <c r="G288" s="322"/>
      <c r="H288" s="322"/>
      <c r="I288" s="322"/>
      <c r="J288" s="322"/>
      <c r="K288" s="322">
        <v>3831000</v>
      </c>
      <c r="L288" s="322"/>
      <c r="M288" s="322">
        <v>4038000</v>
      </c>
      <c r="N288" s="322">
        <v>3895000</v>
      </c>
      <c r="O288" s="322">
        <v>3794000</v>
      </c>
      <c r="P288" s="322">
        <v>3664000</v>
      </c>
      <c r="Q288" s="322">
        <v>3609000</v>
      </c>
      <c r="R288" s="322">
        <v>3708000</v>
      </c>
      <c r="S288" s="322">
        <v>3540000</v>
      </c>
      <c r="T288" s="322">
        <v>3674000</v>
      </c>
      <c r="U288" s="272">
        <v>3712000</v>
      </c>
    </row>
    <row r="289" spans="1:21" ht="15.6" x14ac:dyDescent="0.3">
      <c r="B289" s="351" t="s">
        <v>259</v>
      </c>
      <c r="C289" s="351" t="s">
        <v>191</v>
      </c>
      <c r="D289" s="322"/>
      <c r="E289" s="322"/>
      <c r="F289" s="322"/>
      <c r="G289" s="322"/>
      <c r="H289" s="322"/>
      <c r="I289" s="322"/>
      <c r="J289" s="322"/>
      <c r="K289" s="322">
        <v>348</v>
      </c>
      <c r="L289" s="322"/>
      <c r="M289" s="322">
        <v>312</v>
      </c>
      <c r="N289" s="322">
        <v>282</v>
      </c>
      <c r="O289" s="322">
        <v>259</v>
      </c>
      <c r="P289" s="322">
        <v>228</v>
      </c>
      <c r="Q289" s="322">
        <v>206</v>
      </c>
      <c r="R289" s="322">
        <v>189</v>
      </c>
      <c r="S289" s="322">
        <v>158</v>
      </c>
      <c r="T289" s="322">
        <v>150</v>
      </c>
      <c r="U289" s="272">
        <v>155</v>
      </c>
    </row>
    <row r="290" spans="1:21" ht="15.6" x14ac:dyDescent="0.3">
      <c r="B290" s="351" t="s">
        <v>207</v>
      </c>
      <c r="C290" s="351" t="s">
        <v>191</v>
      </c>
      <c r="D290" s="322"/>
      <c r="E290" s="322"/>
      <c r="F290" s="322"/>
      <c r="G290" s="322"/>
      <c r="H290" s="322"/>
      <c r="I290" s="322"/>
      <c r="J290" s="322">
        <v>27959</v>
      </c>
      <c r="K290" s="322">
        <v>28590</v>
      </c>
      <c r="L290" s="322">
        <v>29197</v>
      </c>
      <c r="M290" s="322">
        <v>28528</v>
      </c>
      <c r="N290" s="322">
        <v>28590</v>
      </c>
      <c r="O290" s="322">
        <v>28918</v>
      </c>
      <c r="P290" s="322">
        <v>29118</v>
      </c>
      <c r="Q290" s="322">
        <v>29098</v>
      </c>
      <c r="R290" s="322">
        <v>29584</v>
      </c>
      <c r="S290" s="322">
        <v>29177</v>
      </c>
      <c r="T290" s="322">
        <v>29243</v>
      </c>
      <c r="U290" s="272">
        <v>31630</v>
      </c>
    </row>
    <row r="291" spans="1:21" ht="15.6" x14ac:dyDescent="0.3">
      <c r="B291" s="350" t="s">
        <v>258</v>
      </c>
      <c r="C291" s="350" t="s">
        <v>245</v>
      </c>
      <c r="D291" s="272"/>
      <c r="E291" s="272"/>
      <c r="F291" s="272"/>
      <c r="G291" s="272"/>
      <c r="H291" s="272"/>
      <c r="I291" s="272"/>
      <c r="J291" s="272"/>
      <c r="K291" s="272">
        <v>16311000</v>
      </c>
      <c r="L291" s="272"/>
      <c r="M291" s="272">
        <v>17330000</v>
      </c>
      <c r="N291" s="272">
        <v>16526000</v>
      </c>
      <c r="O291" s="272">
        <v>16097000</v>
      </c>
      <c r="P291" s="272">
        <v>15865000</v>
      </c>
      <c r="Q291" s="272">
        <v>16318000</v>
      </c>
      <c r="R291" s="272">
        <v>16704000</v>
      </c>
      <c r="S291" s="272">
        <v>16167000</v>
      </c>
      <c r="T291" s="272">
        <v>16964000</v>
      </c>
      <c r="U291" s="272">
        <v>17454000</v>
      </c>
    </row>
    <row r="292" spans="1:21" ht="15.6" x14ac:dyDescent="0.3">
      <c r="B292" s="350" t="s">
        <v>259</v>
      </c>
      <c r="C292" s="350" t="s">
        <v>245</v>
      </c>
      <c r="D292" s="272"/>
      <c r="E292" s="272"/>
      <c r="F292" s="272"/>
      <c r="G292" s="272"/>
      <c r="H292" s="272"/>
      <c r="I292" s="272"/>
      <c r="J292" s="272"/>
      <c r="K292" s="272">
        <v>1481</v>
      </c>
      <c r="L292" s="272"/>
      <c r="M292" s="272">
        <v>1338</v>
      </c>
      <c r="N292" s="272">
        <v>1198</v>
      </c>
      <c r="O292" s="272">
        <v>1100</v>
      </c>
      <c r="P292" s="272">
        <v>987</v>
      </c>
      <c r="Q292" s="272">
        <v>930</v>
      </c>
      <c r="R292" s="272">
        <v>851</v>
      </c>
      <c r="S292" s="272">
        <v>722</v>
      </c>
      <c r="T292" s="272">
        <v>692</v>
      </c>
      <c r="U292" s="272">
        <v>728</v>
      </c>
    </row>
    <row r="293" spans="1:21" ht="15.6" x14ac:dyDescent="0.3">
      <c r="B293" s="250" t="s">
        <v>207</v>
      </c>
      <c r="C293" s="250" t="s">
        <v>245</v>
      </c>
      <c r="D293" s="243"/>
      <c r="E293" s="243"/>
      <c r="F293" s="243"/>
      <c r="G293" s="243"/>
      <c r="H293" s="243"/>
      <c r="I293" s="243"/>
      <c r="J293" s="272">
        <v>125648</v>
      </c>
      <c r="K293" s="272">
        <v>127335</v>
      </c>
      <c r="L293" s="272">
        <v>130198</v>
      </c>
      <c r="M293" s="272">
        <v>130833</v>
      </c>
      <c r="N293" s="272">
        <v>130287</v>
      </c>
      <c r="O293" s="272">
        <v>130832</v>
      </c>
      <c r="P293" s="272">
        <v>130902</v>
      </c>
      <c r="Q293" s="272">
        <v>131730</v>
      </c>
      <c r="R293" s="272">
        <v>133270</v>
      </c>
      <c r="S293" s="272">
        <v>133191</v>
      </c>
      <c r="T293" s="272">
        <v>135074</v>
      </c>
      <c r="U293" s="272">
        <v>140118</v>
      </c>
    </row>
    <row r="294" spans="1:21" ht="15.6" x14ac:dyDescent="0.3">
      <c r="B294" s="672" t="s">
        <v>268</v>
      </c>
      <c r="C294" s="672"/>
      <c r="D294" s="348"/>
      <c r="E294" s="348"/>
      <c r="F294" s="348"/>
      <c r="G294" s="348"/>
      <c r="H294" s="348"/>
      <c r="I294" s="348"/>
      <c r="J294" s="322">
        <v>4243580</v>
      </c>
      <c r="K294" s="322">
        <v>4309453</v>
      </c>
      <c r="L294" s="322">
        <v>4383845</v>
      </c>
      <c r="M294" s="322">
        <v>4465924</v>
      </c>
      <c r="N294" s="322">
        <v>4465924</v>
      </c>
      <c r="O294" s="322">
        <v>4499139</v>
      </c>
      <c r="P294" s="322">
        <v>4542508</v>
      </c>
      <c r="Q294" s="322">
        <v>4582625</v>
      </c>
      <c r="R294" s="322">
        <v>4631302</v>
      </c>
      <c r="S294" s="322">
        <v>4682484</v>
      </c>
      <c r="T294" s="322">
        <v>4750938</v>
      </c>
      <c r="U294" s="272">
        <v>4921415</v>
      </c>
    </row>
    <row r="295" spans="1:21" ht="15.6" x14ac:dyDescent="0.3">
      <c r="B295" s="257"/>
      <c r="C295" s="257"/>
      <c r="D295" s="243"/>
      <c r="E295" s="243"/>
      <c r="F295" s="243"/>
      <c r="G295" s="243"/>
      <c r="H295" s="243"/>
      <c r="I295" s="243"/>
      <c r="J295" s="272"/>
      <c r="K295" s="272"/>
      <c r="L295" s="272"/>
      <c r="M295" s="264"/>
      <c r="N295" s="264"/>
      <c r="O295" s="264"/>
      <c r="P295" s="264"/>
      <c r="Q295" s="264"/>
      <c r="R295" s="264"/>
      <c r="S295" s="264"/>
      <c r="T295" s="264"/>
    </row>
    <row r="296" spans="1:21" ht="15.6" x14ac:dyDescent="0.3">
      <c r="B296" s="257"/>
      <c r="C296" s="257"/>
      <c r="D296" s="243"/>
      <c r="E296" s="243"/>
      <c r="F296" s="243"/>
      <c r="G296" s="243"/>
      <c r="H296" s="243"/>
      <c r="I296" s="243"/>
      <c r="J296" s="243"/>
      <c r="K296" s="243"/>
      <c r="L296" s="243"/>
      <c r="M296" s="264"/>
      <c r="N296" s="264"/>
      <c r="O296" s="264"/>
      <c r="P296" s="264"/>
      <c r="Q296" s="264"/>
      <c r="R296" s="264"/>
      <c r="S296" s="264"/>
      <c r="T296" s="264"/>
    </row>
    <row r="297" spans="1:21" s="6" customFormat="1" ht="15.6" x14ac:dyDescent="0.3">
      <c r="B297" s="255" t="s">
        <v>490</v>
      </c>
      <c r="C297" s="255"/>
      <c r="D297" s="290"/>
      <c r="E297" s="290"/>
      <c r="F297" s="290"/>
      <c r="G297" s="290"/>
      <c r="H297" s="290"/>
      <c r="I297" s="290"/>
      <c r="J297" s="290"/>
      <c r="K297" s="290"/>
      <c r="L297" s="290"/>
      <c r="M297" s="290"/>
      <c r="N297" s="290"/>
      <c r="O297" s="290"/>
      <c r="P297" s="290"/>
      <c r="Q297" s="290"/>
      <c r="R297" s="290"/>
      <c r="S297" s="290"/>
      <c r="T297" s="290"/>
      <c r="U297" s="290"/>
    </row>
    <row r="298" spans="1:21" s="6" customFormat="1" ht="15.6" x14ac:dyDescent="0.3">
      <c r="B298" s="256" t="s">
        <v>661</v>
      </c>
      <c r="C298" s="256"/>
      <c r="D298" s="291">
        <v>2000</v>
      </c>
      <c r="E298" s="291">
        <v>2001</v>
      </c>
      <c r="F298" s="291">
        <v>2002</v>
      </c>
      <c r="G298" s="291">
        <v>2003</v>
      </c>
      <c r="H298" s="291">
        <v>2004</v>
      </c>
      <c r="I298" s="291">
        <v>2005</v>
      </c>
      <c r="J298" s="291">
        <v>2006</v>
      </c>
      <c r="K298" s="291">
        <v>2007</v>
      </c>
      <c r="L298" s="291">
        <v>2008</v>
      </c>
      <c r="M298" s="291">
        <v>2009</v>
      </c>
      <c r="N298" s="291">
        <v>2010</v>
      </c>
      <c r="O298" s="291">
        <v>2011</v>
      </c>
      <c r="P298" s="291">
        <v>2012</v>
      </c>
      <c r="Q298" s="291">
        <v>2013</v>
      </c>
      <c r="R298" s="291">
        <v>2014</v>
      </c>
      <c r="S298" s="291">
        <v>2015</v>
      </c>
      <c r="T298" s="291">
        <v>2016</v>
      </c>
      <c r="U298" s="291">
        <v>2017</v>
      </c>
    </row>
    <row r="299" spans="1:21" s="6" customFormat="1" ht="15.6" x14ac:dyDescent="0.3">
      <c r="B299" s="666" t="s">
        <v>859</v>
      </c>
      <c r="C299" s="666"/>
      <c r="D299" s="667">
        <f t="shared" ref="D299:T299" si="39">SUM(D45)</f>
        <v>0</v>
      </c>
      <c r="E299" s="667">
        <f t="shared" si="39"/>
        <v>0</v>
      </c>
      <c r="F299" s="667">
        <f t="shared" si="39"/>
        <v>0</v>
      </c>
      <c r="G299" s="667">
        <f t="shared" si="39"/>
        <v>0</v>
      </c>
      <c r="H299" s="667">
        <f t="shared" si="39"/>
        <v>0</v>
      </c>
      <c r="I299" s="667">
        <f t="shared" si="39"/>
        <v>123888509</v>
      </c>
      <c r="J299" s="667">
        <f t="shared" si="39"/>
        <v>127063116</v>
      </c>
      <c r="K299" s="667">
        <f t="shared" si="39"/>
        <v>131592218</v>
      </c>
      <c r="L299" s="667">
        <f t="shared" si="39"/>
        <v>151374154</v>
      </c>
      <c r="M299" s="667">
        <f t="shared" si="39"/>
        <v>159279831</v>
      </c>
      <c r="N299" s="667">
        <f t="shared" si="39"/>
        <v>168714991</v>
      </c>
      <c r="O299" s="667">
        <f t="shared" si="39"/>
        <v>169846803</v>
      </c>
      <c r="P299" s="667">
        <f t="shared" si="39"/>
        <v>163991560</v>
      </c>
      <c r="Q299" s="667">
        <f t="shared" si="39"/>
        <v>161390398</v>
      </c>
      <c r="R299" s="667">
        <f t="shared" si="39"/>
        <v>162700000</v>
      </c>
      <c r="S299" s="667">
        <f t="shared" si="39"/>
        <v>161017489</v>
      </c>
      <c r="T299" s="667">
        <f t="shared" si="39"/>
        <v>155413115</v>
      </c>
      <c r="U299" s="667">
        <f>SUM(U45)</f>
        <v>171528000</v>
      </c>
    </row>
    <row r="300" spans="1:21" s="6" customFormat="1" ht="15.6" x14ac:dyDescent="0.3">
      <c r="B300" s="257" t="s">
        <v>860</v>
      </c>
      <c r="C300" s="306"/>
      <c r="D300" s="316">
        <f t="shared" ref="D300:T300" si="40">SUM(D46)</f>
        <v>0</v>
      </c>
      <c r="E300" s="316">
        <f t="shared" si="40"/>
        <v>0</v>
      </c>
      <c r="F300" s="316">
        <f t="shared" si="40"/>
        <v>0</v>
      </c>
      <c r="G300" s="316">
        <f t="shared" si="40"/>
        <v>0</v>
      </c>
      <c r="H300" s="316">
        <f t="shared" si="40"/>
        <v>0</v>
      </c>
      <c r="I300" s="316">
        <f t="shared" si="40"/>
        <v>116975526</v>
      </c>
      <c r="J300" s="316">
        <f t="shared" si="40"/>
        <v>127256557</v>
      </c>
      <c r="K300" s="316">
        <f t="shared" si="40"/>
        <v>143256707</v>
      </c>
      <c r="L300" s="316">
        <f t="shared" si="40"/>
        <v>154212287</v>
      </c>
      <c r="M300" s="316">
        <f t="shared" si="40"/>
        <v>162504022</v>
      </c>
      <c r="N300" s="316">
        <f t="shared" si="40"/>
        <v>159628859</v>
      </c>
      <c r="O300" s="316">
        <f t="shared" si="40"/>
        <v>157134250</v>
      </c>
      <c r="P300" s="316">
        <f t="shared" si="40"/>
        <v>156923987</v>
      </c>
      <c r="Q300" s="316">
        <f t="shared" si="40"/>
        <v>158059879</v>
      </c>
      <c r="R300" s="316">
        <f t="shared" si="40"/>
        <v>159600000</v>
      </c>
      <c r="S300" s="316">
        <f t="shared" si="40"/>
        <v>168284499</v>
      </c>
      <c r="T300" s="316">
        <f t="shared" si="40"/>
        <v>161714979</v>
      </c>
      <c r="U300" s="316">
        <f>SUM(U46)</f>
        <v>164300000</v>
      </c>
    </row>
    <row r="301" spans="1:21" ht="15.6" x14ac:dyDescent="0.3">
      <c r="B301" s="257" t="s">
        <v>861</v>
      </c>
      <c r="C301" s="257"/>
      <c r="D301" s="314">
        <f t="shared" ref="D301:T301" si="41">D299-D303</f>
        <v>-39400121</v>
      </c>
      <c r="E301" s="314">
        <f t="shared" si="41"/>
        <v>-40360425</v>
      </c>
      <c r="F301" s="314">
        <f t="shared" si="41"/>
        <v>-43826712</v>
      </c>
      <c r="G301" s="314">
        <f t="shared" si="41"/>
        <v>-46861930</v>
      </c>
      <c r="H301" s="314">
        <f t="shared" si="41"/>
        <v>-60407400</v>
      </c>
      <c r="I301" s="314">
        <f t="shared" si="41"/>
        <v>62215419</v>
      </c>
      <c r="J301" s="314">
        <f t="shared" si="41"/>
        <v>61111680</v>
      </c>
      <c r="K301" s="314">
        <f t="shared" si="41"/>
        <v>59586530</v>
      </c>
      <c r="L301" s="314">
        <f t="shared" si="41"/>
        <v>76048552</v>
      </c>
      <c r="M301" s="314">
        <f t="shared" si="41"/>
        <v>82598898</v>
      </c>
      <c r="N301" s="314">
        <f t="shared" si="41"/>
        <v>95203676</v>
      </c>
      <c r="O301" s="314">
        <f t="shared" si="41"/>
        <v>99354453</v>
      </c>
      <c r="P301" s="314">
        <f t="shared" si="41"/>
        <v>94831249</v>
      </c>
      <c r="Q301" s="314">
        <f t="shared" si="41"/>
        <v>92500492</v>
      </c>
      <c r="R301" s="314">
        <f t="shared" si="41"/>
        <v>94175681</v>
      </c>
      <c r="S301" s="314">
        <f t="shared" si="41"/>
        <v>90636175</v>
      </c>
      <c r="T301" s="314">
        <f t="shared" si="41"/>
        <v>85245957</v>
      </c>
      <c r="U301" s="314">
        <f>U299-U303</f>
        <v>100313583</v>
      </c>
    </row>
    <row r="302" spans="1:21" s="475" customFormat="1" ht="15.6" x14ac:dyDescent="0.3">
      <c r="A302" s="6"/>
      <c r="B302" s="257" t="s">
        <v>857</v>
      </c>
      <c r="C302" s="257"/>
      <c r="D302" s="314">
        <f t="shared" ref="D302:T302" si="42">SUM(D51)</f>
        <v>52774445</v>
      </c>
      <c r="E302" s="314">
        <f t="shared" si="42"/>
        <v>54529955</v>
      </c>
      <c r="F302" s="314">
        <f t="shared" si="42"/>
        <v>57038454</v>
      </c>
      <c r="G302" s="314">
        <f t="shared" si="42"/>
        <v>60052452</v>
      </c>
      <c r="H302" s="314">
        <f t="shared" si="42"/>
        <v>75305539</v>
      </c>
      <c r="I302" s="314">
        <f t="shared" si="42"/>
        <v>78138494</v>
      </c>
      <c r="J302" s="314">
        <f t="shared" si="42"/>
        <v>83806563</v>
      </c>
      <c r="K302" s="314">
        <f t="shared" si="42"/>
        <v>89330760</v>
      </c>
      <c r="L302" s="314">
        <f t="shared" si="42"/>
        <v>94869078</v>
      </c>
      <c r="M302" s="314">
        <f t="shared" si="42"/>
        <v>93579879</v>
      </c>
      <c r="N302" s="314">
        <f t="shared" si="42"/>
        <v>88637124</v>
      </c>
      <c r="O302" s="314">
        <f t="shared" si="42"/>
        <v>85550127</v>
      </c>
      <c r="P302" s="314">
        <f t="shared" si="42"/>
        <v>85181918</v>
      </c>
      <c r="Q302" s="314">
        <f t="shared" si="42"/>
        <v>83869250</v>
      </c>
      <c r="R302" s="314">
        <f t="shared" si="42"/>
        <v>84483769</v>
      </c>
      <c r="S302" s="314">
        <f t="shared" si="42"/>
        <v>87024402</v>
      </c>
      <c r="T302" s="314">
        <f t="shared" si="42"/>
        <v>87629905</v>
      </c>
      <c r="U302" s="314">
        <f>SUM(U51)</f>
        <v>90881053</v>
      </c>
    </row>
    <row r="303" spans="1:21" s="475" customFormat="1" ht="15.6" x14ac:dyDescent="0.3">
      <c r="A303" s="6"/>
      <c r="B303" s="257" t="s">
        <v>858</v>
      </c>
      <c r="C303" s="257"/>
      <c r="D303" s="314">
        <f t="shared" ref="D303:T303" si="43">SUM(D52)</f>
        <v>39400121</v>
      </c>
      <c r="E303" s="314">
        <f t="shared" si="43"/>
        <v>40360425</v>
      </c>
      <c r="F303" s="314">
        <f t="shared" si="43"/>
        <v>43826712</v>
      </c>
      <c r="G303" s="314">
        <f t="shared" si="43"/>
        <v>46861930</v>
      </c>
      <c r="H303" s="314">
        <f t="shared" si="43"/>
        <v>60407400</v>
      </c>
      <c r="I303" s="314">
        <f t="shared" si="43"/>
        <v>61673090</v>
      </c>
      <c r="J303" s="314">
        <f t="shared" si="43"/>
        <v>65951436</v>
      </c>
      <c r="K303" s="314">
        <f t="shared" si="43"/>
        <v>72005688</v>
      </c>
      <c r="L303" s="314">
        <f t="shared" si="43"/>
        <v>75325602</v>
      </c>
      <c r="M303" s="314">
        <f t="shared" si="43"/>
        <v>76680933</v>
      </c>
      <c r="N303" s="314">
        <f t="shared" si="43"/>
        <v>73511315</v>
      </c>
      <c r="O303" s="314">
        <f t="shared" si="43"/>
        <v>70492350</v>
      </c>
      <c r="P303" s="314">
        <f t="shared" si="43"/>
        <v>69160311</v>
      </c>
      <c r="Q303" s="314">
        <f t="shared" si="43"/>
        <v>68889906</v>
      </c>
      <c r="R303" s="314">
        <f t="shared" si="43"/>
        <v>68524319</v>
      </c>
      <c r="S303" s="314">
        <f t="shared" si="43"/>
        <v>70381314</v>
      </c>
      <c r="T303" s="314">
        <f t="shared" si="43"/>
        <v>70167158</v>
      </c>
      <c r="U303" s="314">
        <f>SUM(U52)</f>
        <v>71214417</v>
      </c>
    </row>
    <row r="304" spans="1:21" ht="49.5" customHeight="1" x14ac:dyDescent="0.3">
      <c r="B304" s="681" t="s">
        <v>493</v>
      </c>
      <c r="C304" s="681"/>
      <c r="D304" s="494"/>
      <c r="E304" s="494"/>
      <c r="F304" s="494"/>
      <c r="G304" s="494"/>
      <c r="H304" s="494"/>
      <c r="I304" s="494"/>
      <c r="J304" s="664"/>
      <c r="K304" s="494"/>
      <c r="L304" s="494"/>
      <c r="M304" s="664"/>
      <c r="N304" s="264"/>
      <c r="O304" s="264"/>
      <c r="P304" s="264"/>
      <c r="Q304" s="264"/>
      <c r="R304" s="264"/>
    </row>
    <row r="305" spans="1:21" ht="15.6" x14ac:dyDescent="0.3">
      <c r="B305" s="257" t="s">
        <v>854</v>
      </c>
      <c r="C305" s="257"/>
      <c r="D305" s="665">
        <f t="shared" ref="D305:T305" si="44">SUM(D191,D51)</f>
        <v>110283245</v>
      </c>
      <c r="E305" s="665">
        <f t="shared" si="44"/>
        <v>111120674</v>
      </c>
      <c r="F305" s="665">
        <f t="shared" si="44"/>
        <v>113328147</v>
      </c>
      <c r="G305" s="665">
        <f t="shared" si="44"/>
        <v>129920392</v>
      </c>
      <c r="H305" s="665">
        <f t="shared" si="44"/>
        <v>146052594</v>
      </c>
      <c r="I305" s="665">
        <f t="shared" si="44"/>
        <v>136618221</v>
      </c>
      <c r="J305" s="665">
        <f t="shared" si="44"/>
        <v>143455875</v>
      </c>
      <c r="K305" s="665">
        <f t="shared" si="44"/>
        <v>149431942</v>
      </c>
      <c r="L305" s="665">
        <f t="shared" si="44"/>
        <v>94869078</v>
      </c>
      <c r="M305" s="665">
        <f t="shared" si="44"/>
        <v>156404260</v>
      </c>
      <c r="N305" s="665">
        <f t="shared" si="44"/>
        <v>149112314</v>
      </c>
      <c r="O305" s="665">
        <f t="shared" si="44"/>
        <v>145259434</v>
      </c>
      <c r="P305" s="665">
        <f t="shared" si="44"/>
        <v>144891225</v>
      </c>
      <c r="Q305" s="665">
        <f t="shared" si="44"/>
        <v>144483368</v>
      </c>
      <c r="R305" s="665">
        <f t="shared" si="44"/>
        <v>146807978</v>
      </c>
      <c r="S305" s="665">
        <f t="shared" si="44"/>
        <v>150126904</v>
      </c>
      <c r="T305" s="665">
        <f t="shared" si="44"/>
        <v>154322992</v>
      </c>
      <c r="U305" s="665">
        <f>SUM(U191,U51)</f>
        <v>154475008</v>
      </c>
    </row>
    <row r="306" spans="1:21" ht="15.6" x14ac:dyDescent="0.3">
      <c r="B306" s="306" t="s">
        <v>855</v>
      </c>
      <c r="D306" s="665">
        <f t="shared" ref="D306:T306" si="45">SUM(D192,D52)</f>
        <v>93259059</v>
      </c>
      <c r="E306" s="665">
        <f t="shared" si="45"/>
        <v>93162701</v>
      </c>
      <c r="F306" s="665">
        <f t="shared" si="45"/>
        <v>97579464</v>
      </c>
      <c r="G306" s="665">
        <f t="shared" si="45"/>
        <v>112181096</v>
      </c>
      <c r="H306" s="665">
        <f t="shared" si="45"/>
        <v>124561845</v>
      </c>
      <c r="I306" s="665">
        <f t="shared" si="45"/>
        <v>115926927</v>
      </c>
      <c r="J306" s="665">
        <f t="shared" si="45"/>
        <v>120179817</v>
      </c>
      <c r="K306" s="665">
        <f t="shared" si="45"/>
        <v>127178120</v>
      </c>
      <c r="L306" s="665">
        <f t="shared" si="45"/>
        <v>75325602</v>
      </c>
      <c r="M306" s="665">
        <f t="shared" si="45"/>
        <v>135554178</v>
      </c>
      <c r="N306" s="665">
        <f t="shared" si="45"/>
        <v>130374586</v>
      </c>
      <c r="O306" s="665">
        <f t="shared" si="45"/>
        <v>127355621</v>
      </c>
      <c r="P306" s="665">
        <f t="shared" si="45"/>
        <v>126023582</v>
      </c>
      <c r="Q306" s="665">
        <f t="shared" si="45"/>
        <v>124995226</v>
      </c>
      <c r="R306" s="665">
        <f t="shared" si="45"/>
        <v>126571889</v>
      </c>
      <c r="S306" s="665">
        <f t="shared" si="45"/>
        <v>129884296</v>
      </c>
      <c r="T306" s="665">
        <f t="shared" si="45"/>
        <v>129879752</v>
      </c>
      <c r="U306" s="665">
        <f>SUM(U192,U52)</f>
        <v>131635079</v>
      </c>
    </row>
    <row r="307" spans="1:21" s="475" customFormat="1" ht="15.6" x14ac:dyDescent="0.3">
      <c r="A307" s="6"/>
      <c r="B307" s="306" t="s">
        <v>856</v>
      </c>
      <c r="C307" s="52"/>
      <c r="D307" s="665">
        <f t="shared" ref="D307:T307" si="46">SUM(D193,D53)</f>
        <v>17024186</v>
      </c>
      <c r="E307" s="665">
        <f t="shared" si="46"/>
        <v>17957973</v>
      </c>
      <c r="F307" s="665">
        <f t="shared" si="46"/>
        <v>15748683</v>
      </c>
      <c r="G307" s="665">
        <f t="shared" si="46"/>
        <v>17739296</v>
      </c>
      <c r="H307" s="665">
        <f t="shared" si="46"/>
        <v>21490749</v>
      </c>
      <c r="I307" s="665">
        <f t="shared" si="46"/>
        <v>20691294</v>
      </c>
      <c r="J307" s="665">
        <f t="shared" si="46"/>
        <v>23276058</v>
      </c>
      <c r="K307" s="665">
        <f t="shared" si="46"/>
        <v>22253822</v>
      </c>
      <c r="L307" s="665">
        <f t="shared" si="46"/>
        <v>19543476</v>
      </c>
      <c r="M307" s="665">
        <f t="shared" si="46"/>
        <v>20850082</v>
      </c>
      <c r="N307" s="665">
        <f t="shared" si="46"/>
        <v>18737728</v>
      </c>
      <c r="O307" s="665">
        <f t="shared" si="46"/>
        <v>17903813</v>
      </c>
      <c r="P307" s="665">
        <f t="shared" si="46"/>
        <v>18867643</v>
      </c>
      <c r="Q307" s="665">
        <f t="shared" si="46"/>
        <v>19488142</v>
      </c>
      <c r="R307" s="665">
        <f t="shared" si="46"/>
        <v>20236089</v>
      </c>
      <c r="S307" s="665">
        <f t="shared" si="46"/>
        <v>20242608</v>
      </c>
      <c r="T307" s="665">
        <f t="shared" si="46"/>
        <v>24443240</v>
      </c>
      <c r="U307" s="665">
        <f>SUM(U193,U53)</f>
        <v>22839929</v>
      </c>
    </row>
    <row r="308" spans="1:21" ht="15.6" x14ac:dyDescent="0.3">
      <c r="B308" s="297" t="s">
        <v>828</v>
      </c>
      <c r="C308" s="297"/>
      <c r="D308" s="258"/>
      <c r="E308" s="258"/>
      <c r="F308" s="258"/>
      <c r="G308" s="258"/>
      <c r="H308" s="258"/>
      <c r="I308" s="258"/>
      <c r="J308" s="258"/>
      <c r="K308" s="258"/>
      <c r="L308" s="258"/>
      <c r="M308" s="258"/>
      <c r="N308" s="258"/>
      <c r="O308" s="258"/>
      <c r="P308" s="258"/>
      <c r="Q308" s="258"/>
      <c r="R308" s="258"/>
      <c r="S308" s="258"/>
      <c r="T308" s="258"/>
      <c r="U308" s="258"/>
    </row>
    <row r="309" spans="1:21" ht="15.6" x14ac:dyDescent="0.3">
      <c r="B309" s="674" t="s">
        <v>4</v>
      </c>
      <c r="C309" s="675"/>
      <c r="D309" s="264"/>
      <c r="E309" s="2">
        <f t="shared" ref="E309:U309" si="47">E55+E195</f>
        <v>1414758436</v>
      </c>
      <c r="F309" s="2">
        <f t="shared" si="47"/>
        <v>1456499318</v>
      </c>
      <c r="G309" s="2">
        <f t="shared" si="47"/>
        <v>1530630671</v>
      </c>
      <c r="H309" s="2">
        <f t="shared" si="47"/>
        <v>1601861092</v>
      </c>
      <c r="I309" s="2">
        <f t="shared" si="47"/>
        <v>1638859668</v>
      </c>
      <c r="J309" s="2">
        <f t="shared" si="47"/>
        <v>1728077899</v>
      </c>
      <c r="K309" s="2">
        <f t="shared" si="47"/>
        <v>1906317585</v>
      </c>
      <c r="L309" s="2">
        <f t="shared" si="47"/>
        <v>1379887232</v>
      </c>
      <c r="M309" s="2">
        <f t="shared" si="47"/>
        <v>1981377142</v>
      </c>
      <c r="N309" s="2">
        <f t="shared" si="47"/>
        <v>1882258255</v>
      </c>
      <c r="O309" s="272">
        <f t="shared" si="47"/>
        <v>1834275478</v>
      </c>
      <c r="P309" s="272">
        <f t="shared" si="47"/>
        <v>1829398861</v>
      </c>
      <c r="Q309" s="272">
        <f t="shared" si="47"/>
        <v>1820285480</v>
      </c>
      <c r="R309" s="272">
        <f t="shared" si="47"/>
        <v>1847579061</v>
      </c>
      <c r="S309" s="272">
        <f t="shared" si="47"/>
        <v>1911027839</v>
      </c>
      <c r="T309" s="272">
        <f t="shared" si="47"/>
        <v>1941986485</v>
      </c>
      <c r="U309" s="272">
        <f t="shared" si="47"/>
        <v>2048849437</v>
      </c>
    </row>
    <row r="310" spans="1:21" ht="15.6" x14ac:dyDescent="0.3">
      <c r="B310" s="674" t="s">
        <v>5</v>
      </c>
      <c r="C310" s="675"/>
      <c r="D310" s="264"/>
      <c r="E310" s="2">
        <f t="shared" ref="E310:U310" si="48">E56+E196</f>
        <v>1139814800</v>
      </c>
      <c r="F310" s="2">
        <f t="shared" si="48"/>
        <v>1208909126</v>
      </c>
      <c r="G310" s="2">
        <f t="shared" si="48"/>
        <v>1270328321</v>
      </c>
      <c r="H310" s="2">
        <f t="shared" si="48"/>
        <v>1288802968</v>
      </c>
      <c r="I310" s="2">
        <f t="shared" si="48"/>
        <v>1308359121</v>
      </c>
      <c r="J310" s="2">
        <f t="shared" si="48"/>
        <v>1361458705</v>
      </c>
      <c r="K310" s="2">
        <f t="shared" si="48"/>
        <v>1544825207</v>
      </c>
      <c r="L310" s="2">
        <f t="shared" si="48"/>
        <v>1064064122</v>
      </c>
      <c r="M310" s="2">
        <f t="shared" si="48"/>
        <v>1661330742</v>
      </c>
      <c r="N310" s="2">
        <f t="shared" si="48"/>
        <v>1595738042</v>
      </c>
      <c r="O310" s="272">
        <f t="shared" si="48"/>
        <v>1541053713</v>
      </c>
      <c r="P310" s="272">
        <f t="shared" si="48"/>
        <v>1523159362</v>
      </c>
      <c r="Q310" s="272">
        <f t="shared" si="48"/>
        <v>1533450437</v>
      </c>
      <c r="R310" s="272">
        <f t="shared" si="48"/>
        <v>1548845832</v>
      </c>
      <c r="S310" s="272">
        <f t="shared" si="48"/>
        <v>1594290454</v>
      </c>
      <c r="T310" s="272">
        <f t="shared" si="48"/>
        <v>1597774063</v>
      </c>
      <c r="U310" s="272">
        <f t="shared" si="48"/>
        <v>1631701039</v>
      </c>
    </row>
    <row r="311" spans="1:21" ht="15.6" x14ac:dyDescent="0.3">
      <c r="B311" s="482" t="s">
        <v>826</v>
      </c>
      <c r="C311" s="482"/>
      <c r="D311" s="264"/>
      <c r="E311" s="652">
        <f t="shared" ref="E311:J311" si="49">(E312+E313)/2</f>
        <v>82.689239856372438</v>
      </c>
      <c r="F311" s="652">
        <f t="shared" si="49"/>
        <v>85.312545783530595</v>
      </c>
      <c r="G311" s="652">
        <f t="shared" si="49"/>
        <v>85.020065600055162</v>
      </c>
      <c r="H311" s="652">
        <f t="shared" si="49"/>
        <v>82.591575819538505</v>
      </c>
      <c r="I311" s="652">
        <f t="shared" si="49"/>
        <v>82.713983105734314</v>
      </c>
      <c r="J311" s="652">
        <f t="shared" si="49"/>
        <v>81.651911903254472</v>
      </c>
      <c r="K311" s="652">
        <f t="shared" ref="K311:U311" si="50">(K312+K313)/2</f>
        <v>83.940458119932188</v>
      </c>
      <c r="L311" s="652">
        <f t="shared" si="50"/>
        <v>0</v>
      </c>
      <c r="M311" s="652">
        <f t="shared" si="50"/>
        <v>86.489285087085051</v>
      </c>
      <c r="N311" s="652">
        <f t="shared" si="50"/>
        <v>87.213335371974168</v>
      </c>
      <c r="O311" s="652">
        <f t="shared" si="50"/>
        <v>86.276869377940216</v>
      </c>
      <c r="P311" s="652">
        <f t="shared" si="50"/>
        <v>85.754576029591732</v>
      </c>
      <c r="Q311" s="652">
        <f t="shared" si="50"/>
        <v>86.325285720311456</v>
      </c>
      <c r="R311" s="652">
        <f t="shared" si="50"/>
        <v>86.117615292762224</v>
      </c>
      <c r="S311" s="652">
        <f t="shared" si="50"/>
        <v>85.589610800583017</v>
      </c>
      <c r="T311" s="652">
        <f t="shared" si="50"/>
        <v>84.296082511556037</v>
      </c>
      <c r="U311" s="652">
        <f t="shared" si="50"/>
        <v>83.344117630566075</v>
      </c>
    </row>
    <row r="312" spans="1:21" x14ac:dyDescent="0.3">
      <c r="B312" s="52" t="s">
        <v>661</v>
      </c>
      <c r="E312" s="2">
        <f t="shared" ref="E312:J312" si="51">E57</f>
        <v>72.072937933300011</v>
      </c>
      <c r="F312" s="2">
        <f t="shared" si="51"/>
        <v>75.132029583153013</v>
      </c>
      <c r="G312" s="2">
        <f t="shared" si="51"/>
        <v>76.549873292361539</v>
      </c>
      <c r="H312" s="2">
        <f t="shared" si="51"/>
        <v>74.501717319039713</v>
      </c>
      <c r="I312" s="2">
        <f t="shared" si="51"/>
        <v>72.654214011065051</v>
      </c>
      <c r="J312" s="2">
        <f t="shared" si="51"/>
        <v>72.391827186906625</v>
      </c>
      <c r="K312" s="2">
        <f t="shared" ref="K312:U312" si="52">K57</f>
        <v>76.0819749110277</v>
      </c>
      <c r="L312" s="2">
        <f t="shared" si="52"/>
        <v>0</v>
      </c>
      <c r="M312" s="2">
        <f t="shared" si="52"/>
        <v>79.267745809488744</v>
      </c>
      <c r="N312" s="2">
        <f t="shared" si="52"/>
        <v>80.399234872211466</v>
      </c>
      <c r="O312" s="2">
        <f t="shared" si="52"/>
        <v>79.793126721848978</v>
      </c>
      <c r="P312" s="2">
        <f t="shared" si="52"/>
        <v>78.677567044802245</v>
      </c>
      <c r="Q312" s="2">
        <f t="shared" si="52"/>
        <v>80.089099870583752</v>
      </c>
      <c r="R312" s="2">
        <f t="shared" si="52"/>
        <v>79.095230585524448</v>
      </c>
      <c r="S312" s="2">
        <f t="shared" si="52"/>
        <v>78.931159585662158</v>
      </c>
      <c r="T312" s="2">
        <f t="shared" si="52"/>
        <v>78.005478278031532</v>
      </c>
      <c r="U312" s="2">
        <f t="shared" si="52"/>
        <v>75.84823526113216</v>
      </c>
    </row>
    <row r="313" spans="1:21" x14ac:dyDescent="0.3">
      <c r="B313" s="52" t="s">
        <v>827</v>
      </c>
      <c r="E313" s="2">
        <f t="shared" ref="E313:J313" si="53">E197</f>
        <v>93.30554177944488</v>
      </c>
      <c r="F313" s="2">
        <f t="shared" si="53"/>
        <v>95.493061983908191</v>
      </c>
      <c r="G313" s="2">
        <f t="shared" si="53"/>
        <v>93.490257907748784</v>
      </c>
      <c r="H313" s="2">
        <f t="shared" si="53"/>
        <v>90.681434320037297</v>
      </c>
      <c r="I313" s="2">
        <f t="shared" si="53"/>
        <v>92.773752200403564</v>
      </c>
      <c r="J313" s="2">
        <f t="shared" si="53"/>
        <v>90.91199661960232</v>
      </c>
      <c r="K313" s="2">
        <f t="shared" ref="K313:U313" si="54">K197</f>
        <v>91.798941328836676</v>
      </c>
      <c r="L313" s="2">
        <f t="shared" si="54"/>
        <v>0</v>
      </c>
      <c r="M313" s="2">
        <f t="shared" si="54"/>
        <v>93.710824364681358</v>
      </c>
      <c r="N313" s="2">
        <f t="shared" si="54"/>
        <v>94.02743587173687</v>
      </c>
      <c r="O313" s="2">
        <f t="shared" si="54"/>
        <v>92.760612034031439</v>
      </c>
      <c r="P313" s="2">
        <f t="shared" si="54"/>
        <v>92.831585014381204</v>
      </c>
      <c r="Q313" s="2">
        <f t="shared" si="54"/>
        <v>92.561471570039174</v>
      </c>
      <c r="R313" s="2">
        <f t="shared" si="54"/>
        <v>93.14</v>
      </c>
      <c r="S313" s="2">
        <f t="shared" si="54"/>
        <v>92.248062015503876</v>
      </c>
      <c r="T313" s="2">
        <f t="shared" si="54"/>
        <v>90.586686745080542</v>
      </c>
      <c r="U313" s="2">
        <f t="shared" si="54"/>
        <v>90.84</v>
      </c>
    </row>
    <row r="314" spans="1:21" x14ac:dyDescent="0.3">
      <c r="N314"/>
      <c r="O314"/>
      <c r="P314"/>
      <c r="Q314"/>
      <c r="R314"/>
      <c r="S314"/>
      <c r="T314"/>
      <c r="U314"/>
    </row>
    <row r="315" spans="1:21" x14ac:dyDescent="0.3">
      <c r="N315"/>
      <c r="O315"/>
      <c r="P315"/>
      <c r="Q315"/>
      <c r="R315"/>
      <c r="S315"/>
      <c r="T315"/>
      <c r="U315"/>
    </row>
    <row r="316" spans="1:21" x14ac:dyDescent="0.3">
      <c r="N316"/>
      <c r="O316"/>
      <c r="P316"/>
      <c r="Q316"/>
      <c r="R316"/>
      <c r="S316"/>
      <c r="T316"/>
      <c r="U316"/>
    </row>
    <row r="317" spans="1:21" x14ac:dyDescent="0.3">
      <c r="N317"/>
      <c r="O317"/>
      <c r="P317"/>
      <c r="Q317"/>
      <c r="R317"/>
      <c r="S317"/>
      <c r="T317"/>
      <c r="U317"/>
    </row>
    <row r="318" spans="1:21" x14ac:dyDescent="0.3">
      <c r="N318"/>
      <c r="O318"/>
      <c r="P318"/>
      <c r="Q318"/>
      <c r="R318"/>
      <c r="S318"/>
      <c r="T318"/>
      <c r="U318"/>
    </row>
    <row r="319" spans="1:21" x14ac:dyDescent="0.3">
      <c r="N319"/>
      <c r="O319"/>
      <c r="P319"/>
      <c r="Q319"/>
      <c r="R319"/>
      <c r="S319"/>
      <c r="T319"/>
      <c r="U319" s="6"/>
    </row>
    <row r="320" spans="1:21" x14ac:dyDescent="0.3">
      <c r="N320"/>
      <c r="O320"/>
      <c r="P320"/>
      <c r="Q320"/>
      <c r="R320"/>
      <c r="S320"/>
      <c r="T320"/>
      <c r="U320" s="6"/>
    </row>
    <row r="321" spans="14:21" x14ac:dyDescent="0.3">
      <c r="N321"/>
      <c r="O321"/>
      <c r="P321"/>
      <c r="Q321"/>
      <c r="R321"/>
      <c r="S321"/>
      <c r="T321"/>
      <c r="U321" s="6"/>
    </row>
  </sheetData>
  <mergeCells count="59">
    <mergeCell ref="B304:C304"/>
    <mergeCell ref="B140:C140"/>
    <mergeCell ref="B192:C192"/>
    <mergeCell ref="B193:C193"/>
    <mergeCell ref="B195:C195"/>
    <mergeCell ref="B175:C175"/>
    <mergeCell ref="B171:C171"/>
    <mergeCell ref="B172:C172"/>
    <mergeCell ref="B173:C173"/>
    <mergeCell ref="B174:C174"/>
    <mergeCell ref="B187:C187"/>
    <mergeCell ref="B188:C188"/>
    <mergeCell ref="B294:C294"/>
    <mergeCell ref="B208:F208"/>
    <mergeCell ref="B202:C202"/>
    <mergeCell ref="B203:C203"/>
    <mergeCell ref="B309:C309"/>
    <mergeCell ref="B310:C310"/>
    <mergeCell ref="B2:L2"/>
    <mergeCell ref="B41:C41"/>
    <mergeCell ref="B42:C42"/>
    <mergeCell ref="B43:C43"/>
    <mergeCell ref="B7:C7"/>
    <mergeCell ref="B45:C45"/>
    <mergeCell ref="B38:C38"/>
    <mergeCell ref="B39:C39"/>
    <mergeCell ref="B40:C40"/>
    <mergeCell ref="B46:C46"/>
    <mergeCell ref="B47:C47"/>
    <mergeCell ref="B51:C51"/>
    <mergeCell ref="B52:C52"/>
    <mergeCell ref="B53:C53"/>
    <mergeCell ref="B204:C204"/>
    <mergeCell ref="B205:C205"/>
    <mergeCell ref="B206:L206"/>
    <mergeCell ref="B196:C196"/>
    <mergeCell ref="B199:C199"/>
    <mergeCell ref="B201:C201"/>
    <mergeCell ref="B200:C200"/>
    <mergeCell ref="B190:C190"/>
    <mergeCell ref="B191:C191"/>
    <mergeCell ref="B128:C128"/>
    <mergeCell ref="B135:C135"/>
    <mergeCell ref="B134:C134"/>
    <mergeCell ref="B132:C132"/>
    <mergeCell ref="B131:C131"/>
    <mergeCell ref="B48:C48"/>
    <mergeCell ref="B49:C49"/>
    <mergeCell ref="B185:C185"/>
    <mergeCell ref="B186:C186"/>
    <mergeCell ref="B189:C189"/>
    <mergeCell ref="B50:C50"/>
    <mergeCell ref="B55:C55"/>
    <mergeCell ref="B56:C56"/>
    <mergeCell ref="B59:C59"/>
    <mergeCell ref="B61:C61"/>
    <mergeCell ref="B63:F63"/>
    <mergeCell ref="B127:C127"/>
    <mergeCell ref="B130:C130"/>
  </mergeCells>
  <pageMargins left="0.70866141732283472" right="0.70866141732283472" top="0.74803149606299213" bottom="0.74803149606299213" header="0.31496062992125984" footer="0.31496062992125984"/>
  <pageSetup paperSize="9" scale="67" fitToHeight="11" orientation="landscape" horizontalDpi="300" verticalDpi="300" r:id="rId1"/>
  <headerFooter>
    <oddHeader>&amp;RPage &amp;P of &amp;N</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35"/>
  <sheetViews>
    <sheetView topLeftCell="A40" workbookViewId="0">
      <selection activeCell="A10" sqref="A10"/>
    </sheetView>
  </sheetViews>
  <sheetFormatPr defaultColWidth="9.109375" defaultRowHeight="14.4" x14ac:dyDescent="0.3"/>
  <cols>
    <col min="1" max="1" width="46.77734375" style="205" bestFit="1" customWidth="1"/>
    <col min="2" max="4" width="14.6640625" style="239" bestFit="1" customWidth="1"/>
    <col min="5" max="5" width="15.6640625" style="239" bestFit="1" customWidth="1"/>
    <col min="6" max="6" width="11.44140625" style="239" bestFit="1" customWidth="1"/>
    <col min="7" max="7" width="10" style="239" bestFit="1" customWidth="1"/>
    <col min="8" max="8" width="11" style="239" bestFit="1" customWidth="1"/>
    <col min="9" max="16384" width="9.109375" style="205"/>
  </cols>
  <sheetData>
    <row r="1" spans="1:10" s="23" customFormat="1" x14ac:dyDescent="0.3">
      <c r="A1" s="456" t="s">
        <v>630</v>
      </c>
      <c r="B1" s="457">
        <v>2014</v>
      </c>
      <c r="C1" s="457">
        <v>2015</v>
      </c>
      <c r="D1" s="457">
        <v>2016</v>
      </c>
      <c r="E1" s="457">
        <v>2017</v>
      </c>
      <c r="F1" s="457">
        <v>2018</v>
      </c>
      <c r="G1" s="457">
        <v>2019</v>
      </c>
      <c r="H1" s="457">
        <v>2020</v>
      </c>
      <c r="I1" s="157"/>
      <c r="J1" s="157"/>
    </row>
    <row r="2" spans="1:10" x14ac:dyDescent="0.3">
      <c r="A2" s="461" t="s">
        <v>619</v>
      </c>
    </row>
    <row r="3" spans="1:10" x14ac:dyDescent="0.3">
      <c r="A3" s="455" t="s">
        <v>613</v>
      </c>
      <c r="B3" s="295">
        <v>93695208</v>
      </c>
      <c r="C3" s="295">
        <v>90636175</v>
      </c>
      <c r="D3" s="295">
        <v>85245957</v>
      </c>
      <c r="E3" s="295">
        <v>100668093</v>
      </c>
    </row>
    <row r="4" spans="1:10" ht="15" customHeight="1" x14ac:dyDescent="0.3">
      <c r="A4" s="455" t="s">
        <v>636</v>
      </c>
      <c r="B4" s="295">
        <v>90627865</v>
      </c>
      <c r="C4" s="295">
        <v>91901185</v>
      </c>
      <c r="D4" s="295">
        <v>91547821</v>
      </c>
      <c r="E4" s="295">
        <v>93444783</v>
      </c>
      <c r="F4" s="2"/>
      <c r="G4" s="2"/>
    </row>
    <row r="5" spans="1:10" x14ac:dyDescent="0.3">
      <c r="A5" s="455" t="s">
        <v>637</v>
      </c>
      <c r="B5" s="295">
        <f>B3-B4</f>
        <v>3067343</v>
      </c>
      <c r="C5" s="295">
        <f>C3-C4</f>
        <v>-1265010</v>
      </c>
      <c r="D5" s="295">
        <f>D3-D4</f>
        <v>-6301864</v>
      </c>
      <c r="E5" s="295">
        <f>E3-E4</f>
        <v>7223310</v>
      </c>
    </row>
    <row r="6" spans="1:10" ht="15" customHeight="1" x14ac:dyDescent="0.3">
      <c r="A6" s="455" t="s">
        <v>638</v>
      </c>
      <c r="B6" s="239">
        <v>91074</v>
      </c>
      <c r="C6" s="239">
        <v>92703</v>
      </c>
      <c r="D6" s="463">
        <v>92910</v>
      </c>
      <c r="E6" s="2">
        <v>93827</v>
      </c>
    </row>
    <row r="7" spans="1:10" x14ac:dyDescent="0.3">
      <c r="A7" s="632" t="s">
        <v>639</v>
      </c>
      <c r="B7" s="633">
        <f>B4/B6</f>
        <v>995.10140105847995</v>
      </c>
      <c r="C7" s="633">
        <f>C4/C6</f>
        <v>991.35071141171272</v>
      </c>
      <c r="D7" s="633">
        <f>D4/D6</f>
        <v>985.33872564847707</v>
      </c>
      <c r="E7" s="633">
        <f>E4/E6</f>
        <v>995.92636447930761</v>
      </c>
    </row>
    <row r="8" spans="1:10" x14ac:dyDescent="0.3">
      <c r="A8" s="461" t="s">
        <v>642</v>
      </c>
      <c r="B8" s="460" t="s">
        <v>643</v>
      </c>
      <c r="E8"/>
      <c r="F8"/>
      <c r="G8"/>
      <c r="H8"/>
      <c r="I8"/>
    </row>
    <row r="9" spans="1:10" ht="15" customHeight="1" x14ac:dyDescent="0.3">
      <c r="A9" s="455" t="s">
        <v>613</v>
      </c>
      <c r="B9" s="295">
        <v>62324209</v>
      </c>
      <c r="C9" s="295">
        <v>63102502</v>
      </c>
      <c r="D9" s="295">
        <v>66693087</v>
      </c>
      <c r="E9" s="295">
        <v>63593955</v>
      </c>
      <c r="G9"/>
      <c r="H9"/>
      <c r="I9"/>
    </row>
    <row r="10" spans="1:10" x14ac:dyDescent="0.3">
      <c r="A10" s="455" t="s">
        <v>636</v>
      </c>
      <c r="B10" s="295">
        <v>58047570</v>
      </c>
      <c r="C10" s="295">
        <v>59502982</v>
      </c>
      <c r="D10" s="295">
        <v>59712594</v>
      </c>
      <c r="E10" s="295">
        <v>60420662</v>
      </c>
      <c r="F10"/>
      <c r="G10"/>
      <c r="H10"/>
      <c r="I10"/>
    </row>
    <row r="11" spans="1:10" x14ac:dyDescent="0.3">
      <c r="A11" s="455" t="s">
        <v>637</v>
      </c>
      <c r="B11" s="295">
        <f>B9-B10</f>
        <v>4276639</v>
      </c>
      <c r="C11" s="295">
        <f>C9-C10</f>
        <v>3599520</v>
      </c>
      <c r="D11" s="295">
        <f>D9-D10</f>
        <v>6980493</v>
      </c>
      <c r="E11" s="295">
        <f>E9-E10</f>
        <v>3173293</v>
      </c>
    </row>
    <row r="12" spans="1:10" x14ac:dyDescent="0.3">
      <c r="A12" s="455" t="s">
        <v>638</v>
      </c>
      <c r="B12" s="239">
        <v>28711</v>
      </c>
      <c r="C12" s="239">
        <v>33314</v>
      </c>
      <c r="D12" s="239">
        <v>25653</v>
      </c>
      <c r="E12" s="239">
        <v>25359</v>
      </c>
    </row>
    <row r="13" spans="1:10" x14ac:dyDescent="0.3">
      <c r="A13" s="632" t="s">
        <v>639</v>
      </c>
      <c r="B13" s="633">
        <f>B10/B12</f>
        <v>2021.7885131134408</v>
      </c>
      <c r="C13" s="633">
        <f>C10/C12</f>
        <v>1786.1254127393888</v>
      </c>
      <c r="D13" s="633">
        <f>D10/D12</f>
        <v>2327.7041281721436</v>
      </c>
      <c r="E13" s="633">
        <f>E10/E12</f>
        <v>2382.6121692495763</v>
      </c>
    </row>
    <row r="14" spans="1:10" x14ac:dyDescent="0.3">
      <c r="A14" s="461" t="s">
        <v>635</v>
      </c>
    </row>
    <row r="15" spans="1:10" x14ac:dyDescent="0.3">
      <c r="A15" s="455" t="s">
        <v>613</v>
      </c>
      <c r="B15" s="295">
        <v>5111571</v>
      </c>
      <c r="C15" s="295">
        <v>5562763</v>
      </c>
      <c r="D15" s="630">
        <v>7126841</v>
      </c>
      <c r="E15" s="295">
        <v>7582861</v>
      </c>
    </row>
    <row r="16" spans="1:10" x14ac:dyDescent="0.3">
      <c r="A16" s="455" t="s">
        <v>636</v>
      </c>
      <c r="B16" s="295">
        <v>6757215</v>
      </c>
      <c r="C16" s="295">
        <v>7167328</v>
      </c>
      <c r="D16" s="295">
        <v>7759980</v>
      </c>
      <c r="E16" s="295">
        <v>8168560</v>
      </c>
    </row>
    <row r="17" spans="1:5" x14ac:dyDescent="0.3">
      <c r="A17" s="455" t="s">
        <v>637</v>
      </c>
      <c r="B17" s="295">
        <f>B15-B16</f>
        <v>-1645644</v>
      </c>
      <c r="C17" s="295">
        <f>C15-C16</f>
        <v>-1604565</v>
      </c>
      <c r="D17" s="295">
        <f>D15-D16</f>
        <v>-633139</v>
      </c>
      <c r="E17" s="295">
        <f>E15-E16</f>
        <v>-585699</v>
      </c>
    </row>
    <row r="18" spans="1:5" ht="28.8" x14ac:dyDescent="0.3">
      <c r="A18" s="455" t="s">
        <v>806</v>
      </c>
      <c r="B18" s="239">
        <v>10545260</v>
      </c>
      <c r="C18" s="239">
        <v>11284867</v>
      </c>
      <c r="D18" s="239">
        <v>12164752</v>
      </c>
      <c r="E18" s="7">
        <v>12791822</v>
      </c>
    </row>
    <row r="19" spans="1:5" x14ac:dyDescent="0.3">
      <c r="A19" s="632" t="s">
        <v>640</v>
      </c>
      <c r="B19" s="635">
        <f>B16/B18</f>
        <v>0.64078220925799834</v>
      </c>
      <c r="C19" s="635">
        <f>C16/C18</f>
        <v>0.6351273789934786</v>
      </c>
      <c r="D19" s="635">
        <f>D16/D18</f>
        <v>0.63790696267379721</v>
      </c>
      <c r="E19" s="635">
        <f>E16/E18</f>
        <v>0.63857674067071912</v>
      </c>
    </row>
    <row r="20" spans="1:5" x14ac:dyDescent="0.3">
      <c r="A20" s="453"/>
    </row>
    <row r="21" spans="1:5" x14ac:dyDescent="0.3">
      <c r="A21" s="461" t="s">
        <v>631</v>
      </c>
    </row>
    <row r="22" spans="1:5" x14ac:dyDescent="0.3">
      <c r="A22" s="455" t="s">
        <v>613</v>
      </c>
      <c r="B22" s="295">
        <v>492866</v>
      </c>
      <c r="C22" s="295">
        <v>559077</v>
      </c>
      <c r="D22" s="295">
        <v>621833</v>
      </c>
      <c r="E22" s="295">
        <v>699275</v>
      </c>
    </row>
    <row r="23" spans="1:5" x14ac:dyDescent="0.3">
      <c r="A23" s="455" t="s">
        <v>636</v>
      </c>
      <c r="B23" s="295">
        <v>176828</v>
      </c>
      <c r="C23" s="295">
        <v>743069</v>
      </c>
      <c r="D23" s="295">
        <v>804916</v>
      </c>
      <c r="E23" s="295">
        <v>505965</v>
      </c>
    </row>
    <row r="24" spans="1:5" x14ac:dyDescent="0.3">
      <c r="A24" s="455" t="s">
        <v>637</v>
      </c>
      <c r="B24" s="295">
        <f>B22-B23</f>
        <v>316038</v>
      </c>
      <c r="C24" s="295">
        <f>C22-C23</f>
        <v>-183992</v>
      </c>
      <c r="D24" s="295">
        <f>D22-D23</f>
        <v>-183083</v>
      </c>
      <c r="E24" s="295">
        <f>E22-E23</f>
        <v>193310</v>
      </c>
    </row>
    <row r="25" spans="1:5" x14ac:dyDescent="0.3">
      <c r="A25" s="455" t="s">
        <v>808</v>
      </c>
      <c r="B25" s="148">
        <v>44253</v>
      </c>
      <c r="C25" s="239">
        <v>66481</v>
      </c>
      <c r="D25" s="239">
        <v>89309</v>
      </c>
      <c r="E25" s="239">
        <v>104339</v>
      </c>
    </row>
    <row r="26" spans="1:5" x14ac:dyDescent="0.3">
      <c r="A26" s="632" t="s">
        <v>809</v>
      </c>
      <c r="B26" s="635">
        <f>B23/B25</f>
        <v>3.9958420898018212</v>
      </c>
      <c r="C26" s="635">
        <f>C23/C25</f>
        <v>11.177163400069192</v>
      </c>
      <c r="D26" s="635">
        <f>D23/D25</f>
        <v>9.0127086855748022</v>
      </c>
      <c r="E26" s="635">
        <f>E23/E25</f>
        <v>4.8492414150030188</v>
      </c>
    </row>
    <row r="27" spans="1:5" ht="28.8" x14ac:dyDescent="0.3">
      <c r="A27" s="459" t="s">
        <v>810</v>
      </c>
    </row>
    <row r="28" spans="1:5" x14ac:dyDescent="0.3">
      <c r="A28" s="455" t="s">
        <v>613</v>
      </c>
      <c r="B28" s="295">
        <v>8358941</v>
      </c>
      <c r="C28" s="295">
        <v>6052759</v>
      </c>
      <c r="D28" s="295">
        <v>5667698</v>
      </c>
      <c r="E28" s="295">
        <v>5494612</v>
      </c>
    </row>
    <row r="29" spans="1:5" x14ac:dyDescent="0.3">
      <c r="A29" s="455" t="s">
        <v>636</v>
      </c>
      <c r="B29" s="295">
        <v>3570972</v>
      </c>
      <c r="C29" s="295">
        <v>4086291</v>
      </c>
      <c r="D29" s="295">
        <v>4673382</v>
      </c>
      <c r="E29" s="295">
        <v>4722910</v>
      </c>
    </row>
    <row r="30" spans="1:5" x14ac:dyDescent="0.3">
      <c r="A30" s="455" t="s">
        <v>637</v>
      </c>
      <c r="B30" s="295">
        <f>B28-B29</f>
        <v>4787969</v>
      </c>
      <c r="C30" s="295">
        <f>C28-C29</f>
        <v>1966468</v>
      </c>
      <c r="D30" s="295">
        <f>D28-D29</f>
        <v>994316</v>
      </c>
      <c r="E30" s="295">
        <f>E28-E29</f>
        <v>771702</v>
      </c>
    </row>
    <row r="31" spans="1:5" x14ac:dyDescent="0.3">
      <c r="A31" s="455" t="s">
        <v>638</v>
      </c>
      <c r="B31" s="239" t="s">
        <v>514</v>
      </c>
      <c r="C31" s="239" t="s">
        <v>514</v>
      </c>
      <c r="D31" s="239" t="s">
        <v>514</v>
      </c>
      <c r="E31" s="239" t="s">
        <v>514</v>
      </c>
    </row>
    <row r="32" spans="1:5" x14ac:dyDescent="0.3">
      <c r="A32" s="632" t="s">
        <v>639</v>
      </c>
      <c r="B32" s="633" t="s">
        <v>514</v>
      </c>
      <c r="C32" s="633" t="s">
        <v>514</v>
      </c>
      <c r="D32" s="633" t="s">
        <v>514</v>
      </c>
      <c r="E32" s="633" t="s">
        <v>514</v>
      </c>
    </row>
    <row r="33" spans="1:5" x14ac:dyDescent="0.3">
      <c r="A33" s="461" t="s">
        <v>623</v>
      </c>
    </row>
    <row r="34" spans="1:5" x14ac:dyDescent="0.3">
      <c r="A34" s="455" t="s">
        <v>613</v>
      </c>
      <c r="B34" s="239">
        <v>27797606</v>
      </c>
      <c r="C34" s="239">
        <v>20927096</v>
      </c>
      <c r="D34" s="239">
        <v>19820855</v>
      </c>
      <c r="E34" s="295">
        <v>20848570</v>
      </c>
    </row>
    <row r="35" spans="1:5" x14ac:dyDescent="0.3">
      <c r="A35" s="455" t="s">
        <v>636</v>
      </c>
      <c r="B35" s="239">
        <v>22819237</v>
      </c>
      <c r="C35" s="239">
        <v>22342874</v>
      </c>
      <c r="D35" s="239">
        <v>19947668</v>
      </c>
      <c r="E35" s="295">
        <v>18396351</v>
      </c>
    </row>
    <row r="36" spans="1:5" x14ac:dyDescent="0.3">
      <c r="A36" s="455" t="s">
        <v>637</v>
      </c>
      <c r="B36" s="239">
        <f>B34-B35</f>
        <v>4978369</v>
      </c>
      <c r="C36" s="239">
        <f>C34-C35</f>
        <v>-1415778</v>
      </c>
      <c r="D36" s="239">
        <f>D34-D35</f>
        <v>-126813</v>
      </c>
      <c r="E36" s="295">
        <f>E34-E35</f>
        <v>2452219</v>
      </c>
    </row>
    <row r="37" spans="1:5" x14ac:dyDescent="0.3">
      <c r="A37" s="455" t="s">
        <v>638</v>
      </c>
      <c r="B37" s="239">
        <v>22721</v>
      </c>
      <c r="C37" s="239">
        <v>21675</v>
      </c>
      <c r="D37" s="463">
        <v>19581</v>
      </c>
      <c r="E37" s="239">
        <v>17820</v>
      </c>
    </row>
    <row r="38" spans="1:5" x14ac:dyDescent="0.3">
      <c r="A38" s="632" t="s">
        <v>639</v>
      </c>
      <c r="B38" s="634">
        <f>B35/B37</f>
        <v>1004.3236213194842</v>
      </c>
      <c r="C38" s="634">
        <f>C35/C37</f>
        <v>1030.8131026528258</v>
      </c>
      <c r="D38" s="634">
        <f>D35/D37</f>
        <v>1018.7257034880752</v>
      </c>
      <c r="E38" s="633">
        <f>E35/E37</f>
        <v>1032.3429292929293</v>
      </c>
    </row>
    <row r="39" spans="1:5" ht="14.25" customHeight="1" x14ac:dyDescent="0.3">
      <c r="A39" s="461" t="s">
        <v>633</v>
      </c>
    </row>
    <row r="40" spans="1:5" x14ac:dyDescent="0.3">
      <c r="A40" s="455" t="s">
        <v>613</v>
      </c>
      <c r="B40" s="239">
        <v>7547360</v>
      </c>
      <c r="C40" s="239">
        <v>7058602</v>
      </c>
      <c r="D40" s="239">
        <v>6377255</v>
      </c>
      <c r="E40" s="295">
        <v>6765180</v>
      </c>
    </row>
    <row r="41" spans="1:5" x14ac:dyDescent="0.3">
      <c r="A41" s="455" t="s">
        <v>636</v>
      </c>
      <c r="B41" s="239">
        <v>5006801</v>
      </c>
      <c r="C41" s="239">
        <v>5689593</v>
      </c>
      <c r="D41" s="239">
        <v>6339305</v>
      </c>
      <c r="E41" s="295">
        <v>6460474</v>
      </c>
    </row>
    <row r="42" spans="1:5" x14ac:dyDescent="0.3">
      <c r="A42" s="455" t="s">
        <v>637</v>
      </c>
      <c r="B42" s="239">
        <f>B40-B41</f>
        <v>2540559</v>
      </c>
      <c r="C42" s="239">
        <f>C40-C41</f>
        <v>1369009</v>
      </c>
      <c r="D42" s="239">
        <f>D40-D41</f>
        <v>37950</v>
      </c>
      <c r="E42" s="295">
        <f>E40-E41</f>
        <v>304706</v>
      </c>
    </row>
    <row r="43" spans="1:5" x14ac:dyDescent="0.3">
      <c r="A43" s="455" t="s">
        <v>638</v>
      </c>
      <c r="B43" s="239">
        <v>3672</v>
      </c>
      <c r="C43" s="239">
        <v>4225</v>
      </c>
      <c r="D43" s="463">
        <v>4545</v>
      </c>
      <c r="E43" s="239">
        <v>4913</v>
      </c>
    </row>
    <row r="44" spans="1:5" x14ac:dyDescent="0.3">
      <c r="A44" s="632" t="s">
        <v>639</v>
      </c>
      <c r="B44" s="634">
        <f>B41/B43</f>
        <v>1363.5078976034858</v>
      </c>
      <c r="C44" s="634">
        <f>C41/C43</f>
        <v>1346.6492307692308</v>
      </c>
      <c r="D44" s="634">
        <f>D41/D43</f>
        <v>1394.7865786578657</v>
      </c>
      <c r="E44" s="633">
        <f>E41/E43</f>
        <v>1314.9753714634642</v>
      </c>
    </row>
    <row r="46" spans="1:5" x14ac:dyDescent="0.3">
      <c r="A46" s="461" t="s">
        <v>625</v>
      </c>
    </row>
    <row r="47" spans="1:5" x14ac:dyDescent="0.3">
      <c r="A47" s="455" t="s">
        <v>613</v>
      </c>
      <c r="B47" s="239">
        <v>897919</v>
      </c>
      <c r="C47" s="14">
        <v>760457</v>
      </c>
      <c r="D47" s="14">
        <v>762777</v>
      </c>
      <c r="E47" s="295">
        <v>712443</v>
      </c>
    </row>
    <row r="48" spans="1:5" x14ac:dyDescent="0.3">
      <c r="A48" s="455" t="s">
        <v>636</v>
      </c>
      <c r="B48" s="239">
        <v>370947</v>
      </c>
      <c r="C48" s="14">
        <v>370947</v>
      </c>
      <c r="D48" s="14">
        <v>367644</v>
      </c>
      <c r="E48" s="295">
        <v>396339</v>
      </c>
    </row>
    <row r="49" spans="1:5" x14ac:dyDescent="0.3">
      <c r="A49" s="455" t="s">
        <v>637</v>
      </c>
      <c r="B49" s="239">
        <f>B47-B48</f>
        <v>526972</v>
      </c>
      <c r="C49" s="14">
        <f>C47-C48</f>
        <v>389510</v>
      </c>
      <c r="D49" s="14">
        <f>D47-D48</f>
        <v>395133</v>
      </c>
      <c r="E49" s="629">
        <f>E47-E48</f>
        <v>316104</v>
      </c>
    </row>
    <row r="50" spans="1:5" x14ac:dyDescent="0.3">
      <c r="A50" s="455" t="s">
        <v>638</v>
      </c>
      <c r="B50" s="458" t="s">
        <v>641</v>
      </c>
      <c r="C50" s="458" t="s">
        <v>641</v>
      </c>
      <c r="D50" s="458" t="s">
        <v>641</v>
      </c>
      <c r="E50" s="458" t="s">
        <v>641</v>
      </c>
    </row>
    <row r="51" spans="1:5" x14ac:dyDescent="0.3">
      <c r="A51" s="455" t="s">
        <v>639</v>
      </c>
      <c r="B51" s="239" t="s">
        <v>514</v>
      </c>
      <c r="C51" s="239" t="s">
        <v>514</v>
      </c>
      <c r="D51" s="239" t="s">
        <v>514</v>
      </c>
      <c r="E51" s="239" t="s">
        <v>514</v>
      </c>
    </row>
    <row r="52" spans="1:5" x14ac:dyDescent="0.3">
      <c r="A52" s="461" t="s">
        <v>58</v>
      </c>
    </row>
    <row r="53" spans="1:5" x14ac:dyDescent="0.3">
      <c r="A53" s="455" t="s">
        <v>613</v>
      </c>
      <c r="B53" s="239">
        <v>19862568</v>
      </c>
      <c r="C53" s="239">
        <v>20292045</v>
      </c>
      <c r="D53" s="239">
        <v>22337145</v>
      </c>
      <c r="E53" s="295">
        <v>24440346</v>
      </c>
    </row>
    <row r="54" spans="1:5" x14ac:dyDescent="0.3">
      <c r="A54" s="455" t="s">
        <v>636</v>
      </c>
      <c r="B54" s="239">
        <v>20214603</v>
      </c>
      <c r="C54" s="239">
        <v>20617997</v>
      </c>
      <c r="D54" s="239">
        <v>20946150</v>
      </c>
      <c r="E54" s="295">
        <v>23193723</v>
      </c>
    </row>
    <row r="55" spans="1:5" x14ac:dyDescent="0.3">
      <c r="A55" s="455" t="s">
        <v>637</v>
      </c>
      <c r="B55" s="239">
        <f>B53-B54</f>
        <v>-352035</v>
      </c>
      <c r="C55" s="239">
        <f>C53-C54</f>
        <v>-325952</v>
      </c>
      <c r="D55" s="239">
        <f>D53-D54</f>
        <v>1390995</v>
      </c>
      <c r="E55" s="295">
        <f>E53-E54</f>
        <v>1246623</v>
      </c>
    </row>
    <row r="56" spans="1:5" x14ac:dyDescent="0.3">
      <c r="A56" s="455" t="s">
        <v>638</v>
      </c>
      <c r="B56" s="7">
        <v>40842</v>
      </c>
      <c r="C56" s="7">
        <v>44940</v>
      </c>
      <c r="D56" s="463">
        <v>43668</v>
      </c>
      <c r="E56" s="479">
        <v>49649</v>
      </c>
    </row>
    <row r="57" spans="1:5" x14ac:dyDescent="0.3">
      <c r="A57" s="632" t="s">
        <v>639</v>
      </c>
      <c r="B57" s="634">
        <f>B54/B56</f>
        <v>494.9464521815778</v>
      </c>
      <c r="C57" s="634">
        <f>C54/C56</f>
        <v>458.78943035157988</v>
      </c>
      <c r="D57" s="634">
        <f>D54/D56</f>
        <v>479.66817807089859</v>
      </c>
      <c r="E57" s="633">
        <f>E54/E56</f>
        <v>467.15388023927977</v>
      </c>
    </row>
    <row r="58" spans="1:5" x14ac:dyDescent="0.3">
      <c r="A58" s="461" t="s">
        <v>621</v>
      </c>
    </row>
    <row r="59" spans="1:5" x14ac:dyDescent="0.3">
      <c r="A59" s="455" t="s">
        <v>613</v>
      </c>
      <c r="B59" s="239">
        <v>14646328</v>
      </c>
      <c r="C59" s="239">
        <v>14983611</v>
      </c>
      <c r="D59" s="239">
        <v>14787372</v>
      </c>
      <c r="E59" s="295">
        <v>15331647</v>
      </c>
    </row>
    <row r="60" spans="1:5" x14ac:dyDescent="0.3">
      <c r="A60" s="455" t="s">
        <v>636</v>
      </c>
      <c r="B60" s="239">
        <v>12863473</v>
      </c>
      <c r="C60" s="239">
        <v>12615168</v>
      </c>
      <c r="D60" s="239">
        <v>14115297</v>
      </c>
      <c r="E60" s="295">
        <v>14671223</v>
      </c>
    </row>
    <row r="61" spans="1:5" x14ac:dyDescent="0.3">
      <c r="A61" s="455" t="s">
        <v>637</v>
      </c>
      <c r="B61" s="239">
        <f>B59-B60</f>
        <v>1782855</v>
      </c>
      <c r="C61" s="239">
        <f>C59-C60</f>
        <v>2368443</v>
      </c>
      <c r="D61" s="239">
        <f>D59-D60</f>
        <v>672075</v>
      </c>
      <c r="E61" s="295">
        <f>E59-E60</f>
        <v>660424</v>
      </c>
    </row>
    <row r="62" spans="1:5" ht="45" customHeight="1" x14ac:dyDescent="0.3">
      <c r="A62" s="455" t="s">
        <v>651</v>
      </c>
      <c r="B62" s="239">
        <v>50630000</v>
      </c>
      <c r="C62" s="239">
        <v>49930000</v>
      </c>
      <c r="D62" s="272">
        <v>48963909</v>
      </c>
      <c r="E62" s="272">
        <v>50347032</v>
      </c>
    </row>
    <row r="63" spans="1:5" x14ac:dyDescent="0.3">
      <c r="A63" s="632" t="s">
        <v>640</v>
      </c>
      <c r="B63" s="636">
        <f>B60/B62</f>
        <v>0.25406820067153862</v>
      </c>
      <c r="C63" s="636">
        <f>C60/C62</f>
        <v>0.25265707991187664</v>
      </c>
      <c r="D63" s="636">
        <f>D60/D62</f>
        <v>0.28827961836135263</v>
      </c>
      <c r="E63" s="636">
        <f>E60/E62</f>
        <v>0.2914019440113173</v>
      </c>
    </row>
    <row r="64" spans="1:5" x14ac:dyDescent="0.3">
      <c r="A64" s="461" t="s">
        <v>627</v>
      </c>
    </row>
    <row r="65" spans="1:6" x14ac:dyDescent="0.3">
      <c r="A65" s="455" t="s">
        <v>613</v>
      </c>
      <c r="B65" s="239">
        <v>1030232</v>
      </c>
      <c r="C65" s="239">
        <v>1095045</v>
      </c>
      <c r="D65" s="239">
        <v>1232250</v>
      </c>
      <c r="E65" s="295">
        <v>1286583</v>
      </c>
    </row>
    <row r="66" spans="1:6" x14ac:dyDescent="0.3">
      <c r="A66" s="455" t="s">
        <v>636</v>
      </c>
      <c r="B66" s="239">
        <v>450402</v>
      </c>
      <c r="C66" s="239">
        <v>467583</v>
      </c>
      <c r="D66" s="239">
        <v>708443</v>
      </c>
      <c r="E66" s="295">
        <v>721668</v>
      </c>
    </row>
    <row r="67" spans="1:6" x14ac:dyDescent="0.3">
      <c r="A67" s="455" t="s">
        <v>637</v>
      </c>
      <c r="B67" s="239">
        <f>B65-B66</f>
        <v>579830</v>
      </c>
      <c r="C67" s="239">
        <f>C65-C66</f>
        <v>627462</v>
      </c>
      <c r="D67" s="239">
        <f>D65-D66</f>
        <v>523807</v>
      </c>
      <c r="E67" s="295">
        <f>E65-E66</f>
        <v>564915</v>
      </c>
    </row>
    <row r="68" spans="1:6" x14ac:dyDescent="0.3">
      <c r="A68" s="455" t="s">
        <v>638</v>
      </c>
      <c r="B68" s="239">
        <v>15402</v>
      </c>
      <c r="C68" s="239">
        <v>22032</v>
      </c>
      <c r="D68" s="463">
        <v>38394</v>
      </c>
      <c r="E68" s="463">
        <v>37989</v>
      </c>
      <c r="F68" s="463"/>
    </row>
    <row r="69" spans="1:6" x14ac:dyDescent="0.3">
      <c r="A69" s="632" t="s">
        <v>639</v>
      </c>
      <c r="B69" s="633">
        <f>B66/B68</f>
        <v>29.243085313595635</v>
      </c>
      <c r="C69" s="633">
        <f>C66/C68</f>
        <v>21.222903050108933</v>
      </c>
      <c r="D69" s="633">
        <f>D66/D68</f>
        <v>18.451919570766265</v>
      </c>
      <c r="E69" s="633">
        <f>E66/E68</f>
        <v>18.996762220642818</v>
      </c>
    </row>
    <row r="70" spans="1:6" x14ac:dyDescent="0.3">
      <c r="A70" s="461" t="s">
        <v>629</v>
      </c>
    </row>
    <row r="71" spans="1:6" x14ac:dyDescent="0.3">
      <c r="A71" s="455" t="s">
        <v>613</v>
      </c>
      <c r="B71" s="239">
        <v>79017364</v>
      </c>
      <c r="C71" s="239">
        <v>85131603</v>
      </c>
      <c r="D71" s="239">
        <v>84046677</v>
      </c>
      <c r="E71" s="628">
        <v>84164874</v>
      </c>
    </row>
    <row r="72" spans="1:6" x14ac:dyDescent="0.3">
      <c r="A72" s="455" t="s">
        <v>636</v>
      </c>
      <c r="B72" s="239">
        <v>45939463</v>
      </c>
      <c r="C72" s="239">
        <v>73801736</v>
      </c>
      <c r="D72" s="239">
        <v>73831727</v>
      </c>
      <c r="E72" s="628">
        <v>72513159</v>
      </c>
    </row>
    <row r="73" spans="1:6" x14ac:dyDescent="0.3">
      <c r="A73" s="455" t="s">
        <v>637</v>
      </c>
      <c r="B73" s="239">
        <f>B71-B72</f>
        <v>33077901</v>
      </c>
      <c r="C73" s="239">
        <f>C71-C72</f>
        <v>11329867</v>
      </c>
      <c r="D73" s="239">
        <f>D71-D72</f>
        <v>10214950</v>
      </c>
      <c r="E73" s="239">
        <f>E71-E72</f>
        <v>11651715</v>
      </c>
    </row>
    <row r="74" spans="1:6" x14ac:dyDescent="0.3">
      <c r="A74" s="455" t="s">
        <v>638</v>
      </c>
      <c r="B74" s="239">
        <v>116475</v>
      </c>
      <c r="C74" s="239">
        <v>186509</v>
      </c>
      <c r="D74" s="463">
        <v>185477</v>
      </c>
      <c r="E74" s="463">
        <v>197950</v>
      </c>
      <c r="F74" s="463"/>
    </row>
    <row r="75" spans="1:6" x14ac:dyDescent="0.3">
      <c r="A75" s="632" t="s">
        <v>639</v>
      </c>
      <c r="B75" s="633">
        <f>B72/B74</f>
        <v>394.41479287400728</v>
      </c>
      <c r="C75" s="633">
        <f>C72/C74</f>
        <v>395.7006686004429</v>
      </c>
      <c r="D75" s="633">
        <f>D72/D74</f>
        <v>398.06405645983062</v>
      </c>
      <c r="E75" s="633">
        <f>E72/E74</f>
        <v>366.32058095478658</v>
      </c>
    </row>
    <row r="76" spans="1:6" x14ac:dyDescent="0.3">
      <c r="A76" s="453"/>
    </row>
    <row r="77" spans="1:6" x14ac:dyDescent="0.3">
      <c r="A77" s="462" t="s">
        <v>497</v>
      </c>
    </row>
    <row r="78" spans="1:6" x14ac:dyDescent="0.3">
      <c r="A78" s="632" t="s">
        <v>613</v>
      </c>
      <c r="B78" s="634">
        <f t="shared" ref="B78:E79" si="0">SUM(B71,B65,B59,B53,B47,B40,B34,B28,B22,B15,B9,B3)</f>
        <v>320782172</v>
      </c>
      <c r="C78" s="634">
        <f t="shared" si="0"/>
        <v>316161735</v>
      </c>
      <c r="D78" s="634">
        <f t="shared" si="0"/>
        <v>314719747</v>
      </c>
      <c r="E78" s="634">
        <f t="shared" si="0"/>
        <v>331588439</v>
      </c>
    </row>
    <row r="79" spans="1:6" x14ac:dyDescent="0.3">
      <c r="A79" s="632" t="s">
        <v>636</v>
      </c>
      <c r="B79" s="634">
        <f t="shared" si="0"/>
        <v>266845376</v>
      </c>
      <c r="C79" s="634">
        <f t="shared" si="0"/>
        <v>299306753</v>
      </c>
      <c r="D79" s="634">
        <f t="shared" si="0"/>
        <v>300754927</v>
      </c>
      <c r="E79" s="634">
        <f t="shared" si="0"/>
        <v>303615817</v>
      </c>
    </row>
    <row r="80" spans="1:6" x14ac:dyDescent="0.3">
      <c r="A80" s="632" t="s">
        <v>637</v>
      </c>
      <c r="B80" s="634">
        <f>B78-B79</f>
        <v>53936796</v>
      </c>
      <c r="C80" s="634">
        <f>C78-C79</f>
        <v>16854982</v>
      </c>
      <c r="D80" s="634">
        <f>D78-D79</f>
        <v>13964820</v>
      </c>
      <c r="E80" s="634">
        <f>E78-E79</f>
        <v>27972622</v>
      </c>
    </row>
    <row r="81" spans="1:6" ht="30" customHeight="1" x14ac:dyDescent="0.3">
      <c r="A81" s="719" t="s">
        <v>652</v>
      </c>
      <c r="B81" s="719"/>
      <c r="C81" s="719"/>
      <c r="D81" s="719"/>
      <c r="E81" s="719"/>
      <c r="F81" s="719"/>
    </row>
    <row r="82" spans="1:6" x14ac:dyDescent="0.3">
      <c r="A82" s="453" t="s">
        <v>622</v>
      </c>
      <c r="B82" s="239" t="s">
        <v>641</v>
      </c>
      <c r="C82" s="239" t="s">
        <v>641</v>
      </c>
      <c r="D82" s="239" t="s">
        <v>641</v>
      </c>
      <c r="E82" s="239" t="s">
        <v>641</v>
      </c>
    </row>
    <row r="83" spans="1:6" x14ac:dyDescent="0.3">
      <c r="A83" s="453" t="s">
        <v>620</v>
      </c>
      <c r="B83" s="239" t="s">
        <v>641</v>
      </c>
      <c r="C83" s="239" t="s">
        <v>641</v>
      </c>
      <c r="D83" s="239" t="s">
        <v>641</v>
      </c>
      <c r="E83" s="239" t="s">
        <v>641</v>
      </c>
    </row>
    <row r="84" spans="1:6" x14ac:dyDescent="0.3">
      <c r="A84" s="453" t="s">
        <v>624</v>
      </c>
      <c r="B84" s="239" t="s">
        <v>641</v>
      </c>
      <c r="C84" s="239" t="s">
        <v>641</v>
      </c>
      <c r="D84" s="239" t="s">
        <v>641</v>
      </c>
      <c r="E84" s="239" t="s">
        <v>641</v>
      </c>
    </row>
    <row r="85" spans="1:6" x14ac:dyDescent="0.3">
      <c r="A85" s="453" t="s">
        <v>634</v>
      </c>
      <c r="B85" s="239" t="s">
        <v>641</v>
      </c>
      <c r="C85" s="239" t="s">
        <v>641</v>
      </c>
      <c r="D85" s="239" t="s">
        <v>641</v>
      </c>
      <c r="E85" s="239" t="s">
        <v>641</v>
      </c>
    </row>
    <row r="86" spans="1:6" x14ac:dyDescent="0.3">
      <c r="A86" s="453" t="s">
        <v>626</v>
      </c>
      <c r="B86" s="239" t="s">
        <v>641</v>
      </c>
      <c r="C86" s="239" t="s">
        <v>641</v>
      </c>
      <c r="D86" s="239" t="s">
        <v>641</v>
      </c>
      <c r="E86" s="239" t="s">
        <v>641</v>
      </c>
    </row>
    <row r="87" spans="1:6" x14ac:dyDescent="0.3">
      <c r="A87" s="453" t="s">
        <v>564</v>
      </c>
      <c r="B87" s="239" t="s">
        <v>641</v>
      </c>
      <c r="C87" s="239" t="s">
        <v>641</v>
      </c>
      <c r="D87" s="239" t="s">
        <v>641</v>
      </c>
      <c r="E87" s="239" t="s">
        <v>641</v>
      </c>
    </row>
    <row r="88" spans="1:6" x14ac:dyDescent="0.3">
      <c r="A88" s="453" t="s">
        <v>628</v>
      </c>
      <c r="B88" s="239" t="s">
        <v>641</v>
      </c>
      <c r="C88" s="239" t="s">
        <v>641</v>
      </c>
      <c r="D88" s="239" t="s">
        <v>641</v>
      </c>
      <c r="E88" s="239" t="s">
        <v>641</v>
      </c>
    </row>
    <row r="89" spans="1:6" x14ac:dyDescent="0.3">
      <c r="A89" s="453" t="s">
        <v>802</v>
      </c>
      <c r="B89" s="239" t="s">
        <v>641</v>
      </c>
      <c r="C89" s="239" t="s">
        <v>641</v>
      </c>
      <c r="D89" s="239" t="s">
        <v>641</v>
      </c>
      <c r="E89" s="239" t="s">
        <v>641</v>
      </c>
    </row>
    <row r="90" spans="1:6" x14ac:dyDescent="0.3">
      <c r="A90" s="453" t="s">
        <v>803</v>
      </c>
      <c r="B90" s="239" t="s">
        <v>514</v>
      </c>
      <c r="C90" s="239" t="s">
        <v>514</v>
      </c>
      <c r="D90" s="239" t="s">
        <v>641</v>
      </c>
      <c r="E90" s="239" t="s">
        <v>641</v>
      </c>
    </row>
    <row r="91" spans="1:6" x14ac:dyDescent="0.3">
      <c r="A91" s="453"/>
    </row>
    <row r="92" spans="1:6" x14ac:dyDescent="0.3">
      <c r="A92" s="453"/>
    </row>
    <row r="93" spans="1:6" x14ac:dyDescent="0.3">
      <c r="A93" s="453" t="s">
        <v>804</v>
      </c>
    </row>
    <row r="94" spans="1:6" x14ac:dyDescent="0.3">
      <c r="A94" s="453" t="s">
        <v>805</v>
      </c>
    </row>
    <row r="96" spans="1:6" ht="28.8" x14ac:dyDescent="0.3">
      <c r="A96" s="646" t="s">
        <v>825</v>
      </c>
    </row>
    <row r="97" spans="1:1" x14ac:dyDescent="0.3">
      <c r="A97" s="454"/>
    </row>
    <row r="98" spans="1:1" x14ac:dyDescent="0.3">
      <c r="A98" s="454"/>
    </row>
    <row r="99" spans="1:1" x14ac:dyDescent="0.3">
      <c r="A99" s="454"/>
    </row>
    <row r="101" spans="1:1" x14ac:dyDescent="0.3">
      <c r="A101" s="453"/>
    </row>
    <row r="102" spans="1:1" x14ac:dyDescent="0.3">
      <c r="A102" s="453"/>
    </row>
    <row r="103" spans="1:1" x14ac:dyDescent="0.3">
      <c r="A103" s="453"/>
    </row>
    <row r="104" spans="1:1" x14ac:dyDescent="0.3">
      <c r="A104" s="453"/>
    </row>
    <row r="105" spans="1:1" x14ac:dyDescent="0.3">
      <c r="A105" s="453"/>
    </row>
    <row r="107" spans="1:1" x14ac:dyDescent="0.3">
      <c r="A107" s="453"/>
    </row>
    <row r="108" spans="1:1" x14ac:dyDescent="0.3">
      <c r="A108" s="453"/>
    </row>
    <row r="109" spans="1:1" x14ac:dyDescent="0.3">
      <c r="A109" s="453"/>
    </row>
    <row r="110" spans="1:1" x14ac:dyDescent="0.3">
      <c r="A110" s="453"/>
    </row>
    <row r="112" spans="1:1" x14ac:dyDescent="0.3">
      <c r="A112" s="453"/>
    </row>
    <row r="113" spans="1:1" x14ac:dyDescent="0.3">
      <c r="A113" s="453"/>
    </row>
    <row r="114" spans="1:1" x14ac:dyDescent="0.3">
      <c r="A114" s="453"/>
    </row>
    <row r="115" spans="1:1" x14ac:dyDescent="0.3">
      <c r="A115" s="453"/>
    </row>
    <row r="117" spans="1:1" x14ac:dyDescent="0.3">
      <c r="A117" s="453"/>
    </row>
    <row r="118" spans="1:1" x14ac:dyDescent="0.3">
      <c r="A118" s="453"/>
    </row>
    <row r="119" spans="1:1" x14ac:dyDescent="0.3">
      <c r="A119" s="453"/>
    </row>
    <row r="120" spans="1:1" x14ac:dyDescent="0.3">
      <c r="A120" s="453"/>
    </row>
    <row r="124" spans="1:1" x14ac:dyDescent="0.3">
      <c r="A124" s="453"/>
    </row>
    <row r="125" spans="1:1" x14ac:dyDescent="0.3">
      <c r="A125" s="453"/>
    </row>
    <row r="127" spans="1:1" x14ac:dyDescent="0.3">
      <c r="A127" s="453"/>
    </row>
    <row r="128" spans="1:1" x14ac:dyDescent="0.3">
      <c r="A128" s="453"/>
    </row>
    <row r="129" spans="1:1" x14ac:dyDescent="0.3">
      <c r="A129" s="453"/>
    </row>
    <row r="130" spans="1:1" x14ac:dyDescent="0.3">
      <c r="A130" s="453"/>
    </row>
    <row r="132" spans="1:1" x14ac:dyDescent="0.3">
      <c r="A132" s="453"/>
    </row>
    <row r="133" spans="1:1" x14ac:dyDescent="0.3">
      <c r="A133" s="453"/>
    </row>
    <row r="134" spans="1:1" x14ac:dyDescent="0.3">
      <c r="A134" s="453"/>
    </row>
    <row r="135" spans="1:1" x14ac:dyDescent="0.3">
      <c r="A135" s="453"/>
    </row>
  </sheetData>
  <mergeCells count="2">
    <mergeCell ref="A81:C81"/>
    <mergeCell ref="D81:F8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AS94"/>
  <sheetViews>
    <sheetView zoomScale="80" zoomScaleNormal="80" zoomScalePageLayoutView="70" workbookViewId="0">
      <selection activeCell="C86" sqref="C86:V86"/>
    </sheetView>
  </sheetViews>
  <sheetFormatPr defaultColWidth="8.77734375" defaultRowHeight="14.4" x14ac:dyDescent="0.3"/>
  <cols>
    <col min="1" max="1" width="4.6640625" customWidth="1"/>
    <col min="2" max="2" width="3.44140625" customWidth="1"/>
    <col min="3" max="3" width="60.77734375" customWidth="1"/>
    <col min="4" max="18" width="14.109375" customWidth="1"/>
    <col min="19" max="19" width="17.33203125" style="52" customWidth="1"/>
    <col min="20" max="20" width="16.44140625" style="205" customWidth="1"/>
    <col min="21" max="21" width="16.44140625" style="475" customWidth="1"/>
    <col min="22" max="22" width="22.44140625" customWidth="1"/>
    <col min="23" max="23" width="10.77734375" style="6" customWidth="1"/>
    <col min="24" max="24" width="0.6640625" customWidth="1"/>
    <col min="25" max="25" width="33.44140625" customWidth="1"/>
    <col min="26" max="26" width="19.109375" style="239" bestFit="1" customWidth="1"/>
  </cols>
  <sheetData>
    <row r="1" spans="3:26" ht="18.75" customHeight="1" x14ac:dyDescent="0.3"/>
    <row r="2" spans="3:26" ht="32.25" customHeight="1" x14ac:dyDescent="0.3">
      <c r="C2" s="736" t="s">
        <v>302</v>
      </c>
      <c r="D2" s="736"/>
      <c r="E2" s="736"/>
      <c r="F2" s="736"/>
      <c r="G2" s="736"/>
      <c r="H2" s="736"/>
      <c r="I2" s="736"/>
      <c r="J2" s="736"/>
      <c r="K2" s="736"/>
      <c r="L2" s="736"/>
      <c r="M2" s="736"/>
      <c r="N2" s="736"/>
      <c r="O2" s="736"/>
      <c r="P2" s="736"/>
      <c r="Q2" s="736"/>
      <c r="R2" s="736"/>
      <c r="S2" s="736"/>
      <c r="T2" s="736"/>
      <c r="U2" s="736"/>
      <c r="V2" s="736"/>
      <c r="W2" s="736"/>
      <c r="X2" s="736"/>
      <c r="Y2" s="736"/>
    </row>
    <row r="3" spans="3:26" s="68" customFormat="1" ht="21.75" customHeight="1" x14ac:dyDescent="0.3">
      <c r="C3" s="92"/>
      <c r="S3" s="92"/>
      <c r="W3" s="101"/>
      <c r="Y3" s="98" t="s">
        <v>307</v>
      </c>
      <c r="Z3" s="240"/>
    </row>
    <row r="4" spans="3:26" s="68" customFormat="1" ht="18" customHeight="1" x14ac:dyDescent="0.3">
      <c r="C4" s="92"/>
      <c r="S4" s="92"/>
      <c r="W4" s="101"/>
      <c r="Y4" s="101"/>
      <c r="Z4" s="240"/>
    </row>
    <row r="5" spans="3:26" s="68" customFormat="1" ht="18" customHeight="1" x14ac:dyDescent="0.3">
      <c r="C5" s="83"/>
      <c r="D5" s="745" t="s">
        <v>275</v>
      </c>
      <c r="E5" s="746"/>
      <c r="F5" s="746"/>
      <c r="G5" s="746"/>
      <c r="H5" s="746"/>
      <c r="I5" s="746"/>
      <c r="J5" s="746"/>
      <c r="K5" s="746"/>
      <c r="L5" s="746"/>
      <c r="M5" s="746"/>
      <c r="N5" s="746"/>
      <c r="O5" s="746"/>
      <c r="P5" s="746"/>
      <c r="Q5" s="746"/>
      <c r="R5" s="746"/>
      <c r="S5" s="746"/>
      <c r="T5" s="746"/>
      <c r="U5" s="746"/>
      <c r="V5" s="746"/>
      <c r="W5" s="66"/>
      <c r="Y5" s="723" t="s">
        <v>308</v>
      </c>
      <c r="Z5" s="240"/>
    </row>
    <row r="6" spans="3:26" s="68" customFormat="1" ht="15" customHeight="1" x14ac:dyDescent="0.3">
      <c r="C6" s="93"/>
      <c r="D6" s="473">
        <v>2000</v>
      </c>
      <c r="E6" s="468">
        <v>2001</v>
      </c>
      <c r="F6" s="468">
        <v>2002</v>
      </c>
      <c r="G6" s="468">
        <v>2003</v>
      </c>
      <c r="H6" s="468">
        <v>2004</v>
      </c>
      <c r="I6" s="468">
        <v>2005</v>
      </c>
      <c r="J6" s="468">
        <v>2006</v>
      </c>
      <c r="K6" s="468">
        <v>2007</v>
      </c>
      <c r="L6" s="468">
        <v>2008</v>
      </c>
      <c r="M6" s="468">
        <v>2009</v>
      </c>
      <c r="N6" s="468">
        <v>2010</v>
      </c>
      <c r="O6" s="468">
        <v>2011</v>
      </c>
      <c r="P6" s="468">
        <v>2012</v>
      </c>
      <c r="Q6" s="468">
        <v>2013</v>
      </c>
      <c r="R6" s="468">
        <v>2014</v>
      </c>
      <c r="S6" s="468">
        <v>2015</v>
      </c>
      <c r="T6" s="474">
        <v>2016</v>
      </c>
      <c r="U6" s="474">
        <v>2017</v>
      </c>
      <c r="V6" s="468" t="s">
        <v>285</v>
      </c>
      <c r="W6" s="101"/>
      <c r="Y6" s="724"/>
      <c r="Z6" s="240"/>
    </row>
    <row r="7" spans="3:26" s="68" customFormat="1" ht="15" customHeight="1" x14ac:dyDescent="0.3">
      <c r="C7" s="107" t="s">
        <v>295</v>
      </c>
      <c r="D7" s="94">
        <f>'Bevs(2000-2017)'!D56+'Bevs(2000-2017)'!D135+'Bevs(2000-2017)'!D196</f>
        <v>590522695</v>
      </c>
      <c r="E7" s="94">
        <f>'Bevs(2000-2017)'!E56+'Bevs(2000-2017)'!E135+'Bevs(2000-2017)'!E196</f>
        <v>1252168334</v>
      </c>
      <c r="F7" s="94">
        <f>'Bevs(2000-2017)'!F56+'Bevs(2000-2017)'!F135+'Bevs(2000-2017)'!F196</f>
        <v>1341842780</v>
      </c>
      <c r="G7" s="94">
        <f>'Bevs(2000-2017)'!G56+'Bevs(2000-2017)'!G135+'Bevs(2000-2017)'!G196</f>
        <v>1415077851</v>
      </c>
      <c r="H7" s="94">
        <f>'Bevs(2000-2017)'!H56+'Bevs(2000-2017)'!H135+'Bevs(2000-2017)'!H196</f>
        <v>1440601233</v>
      </c>
      <c r="I7" s="94">
        <f>'Bevs(2000-2017)'!I56+'Bevs(2000-2017)'!I135+'Bevs(2000-2017)'!I196</f>
        <v>1469788226</v>
      </c>
      <c r="J7" s="94">
        <f>'Bevs(2000-2017)'!J56+'Bevs(2000-2017)'!J135+'Bevs(2000-2017)'!J196</f>
        <v>1539185802</v>
      </c>
      <c r="K7" s="94">
        <f>'Bevs(2000-2017)'!K56+'Bevs(2000-2017)'!K135+'Bevs(2000-2017)'!K196</f>
        <v>1544825207</v>
      </c>
      <c r="L7" s="94">
        <f>'Bevs(2000-2017)'!L56+'Bevs(2000-2017)'!L135+'Bevs(2000-2017)'!L196</f>
        <v>1064064122</v>
      </c>
      <c r="M7" s="94">
        <f>'Bevs(2000-2017)'!M56+'Bevs(2000-2017)'!M135+'Bevs(2000-2017)'!M196</f>
        <v>1661330742</v>
      </c>
      <c r="N7" s="94">
        <f>'Bevs(2000-2017)'!N56+'Bevs(2000-2017)'!N135+'Bevs(2000-2017)'!N196</f>
        <v>1595738042</v>
      </c>
      <c r="O7" s="94">
        <f>'Bevs(2000-2017)'!O56+'Bevs(2000-2017)'!O135+'Bevs(2000-2017)'!O196</f>
        <v>1541053713</v>
      </c>
      <c r="P7" s="94">
        <f>'Bevs(2000-2017)'!P56+'Bevs(2000-2017)'!P135+'Bevs(2000-2017)'!P196</f>
        <v>1523159362</v>
      </c>
      <c r="Q7" s="94">
        <f>'Bevs(2000-2017)'!Q56+'Bevs(2000-2017)'!Q135+'Bevs(2000-2017)'!Q196</f>
        <v>1533450437</v>
      </c>
      <c r="R7" s="94">
        <f>'Bevs(2000-2017)'!R56+'Bevs(2000-2017)'!R135+'Bevs(2000-2017)'!R196</f>
        <v>1548845832</v>
      </c>
      <c r="S7" s="94">
        <f>'Bevs(2000-2017)'!S56+'Bevs(2000-2017)'!S135+'Bevs(2000-2017)'!S196</f>
        <v>1594290454</v>
      </c>
      <c r="T7" s="94">
        <f>1000749811+597024252</f>
        <v>1597774063</v>
      </c>
      <c r="U7" s="94">
        <f>1023306039+608395000</f>
        <v>1631701039</v>
      </c>
      <c r="V7" s="131">
        <f>SUM(D7:U7)</f>
        <v>25885419934</v>
      </c>
      <c r="W7" s="105" t="s">
        <v>835</v>
      </c>
      <c r="Y7" s="724"/>
      <c r="Z7" s="240"/>
    </row>
    <row r="8" spans="3:26" s="68" customFormat="1" ht="15" customHeight="1" x14ac:dyDescent="0.3">
      <c r="C8" s="108" t="s">
        <v>290</v>
      </c>
      <c r="D8" s="95"/>
      <c r="E8" s="95">
        <f>'Bevs(2000-2017)'!E55+'Bevs(2000-2017)'!E134+'Bevs(2000-2017)'!E195</f>
        <v>1545837587</v>
      </c>
      <c r="F8" s="95">
        <f>'Bevs(2000-2017)'!F55+'Bevs(2000-2017)'!F134+'Bevs(2000-2017)'!F195</f>
        <v>1602339106</v>
      </c>
      <c r="G8" s="95">
        <f>'Bevs(2000-2017)'!G55+'Bevs(2000-2017)'!G134+'Bevs(2000-2017)'!G195</f>
        <v>1688947095</v>
      </c>
      <c r="H8" s="95">
        <f>'Bevs(2000-2017)'!H55+'Bevs(2000-2017)'!H134+'Bevs(2000-2017)'!H195</f>
        <v>1771286403</v>
      </c>
      <c r="I8" s="95">
        <f>'Bevs(2000-2017)'!I55+'Bevs(2000-2017)'!I134+'Bevs(2000-2017)'!I195</f>
        <v>1819856130</v>
      </c>
      <c r="J8" s="95">
        <f>'Bevs(2000-2017)'!J55+'Bevs(2000-2017)'!J134+'Bevs(2000-2017)'!J195</f>
        <v>1928397763</v>
      </c>
      <c r="K8" s="95">
        <f>'Bevs(2000-2017)'!K55+'Bevs(2000-2017)'!K134+'Bevs(2000-2017)'!K195</f>
        <v>1906317585</v>
      </c>
      <c r="L8" s="95">
        <f>'Bevs(2000-2017)'!L55+'Bevs(2000-2017)'!L134+'Bevs(2000-2017)'!L195</f>
        <v>1379887232</v>
      </c>
      <c r="M8" s="95">
        <f>'Bevs(2000-2017)'!M55+'Bevs(2000-2017)'!M134+'Bevs(2000-2017)'!M195</f>
        <v>1981377142</v>
      </c>
      <c r="N8" s="95">
        <f>'Bevs(2000-2017)'!N55+'Bevs(2000-2017)'!N134+'Bevs(2000-2017)'!N195</f>
        <v>1882258255</v>
      </c>
      <c r="O8" s="95">
        <f>'Bevs(2000-2017)'!O55+'Bevs(2000-2017)'!O134+'Bevs(2000-2017)'!O195</f>
        <v>1834275478</v>
      </c>
      <c r="P8" s="95">
        <f>'Bevs(2000-2017)'!P55+'Bevs(2000-2017)'!P134+'Bevs(2000-2017)'!P195</f>
        <v>1829398861</v>
      </c>
      <c r="Q8" s="95">
        <f>'Bevs(2000-2017)'!Q55+'Bevs(2000-2017)'!Q134+'Bevs(2000-2017)'!Q195</f>
        <v>1820285480</v>
      </c>
      <c r="R8" s="95">
        <f>'Bevs(2000-2017)'!R55+'Bevs(2000-2017)'!R134+'Bevs(2000-2017)'!R195</f>
        <v>1847579061</v>
      </c>
      <c r="S8" s="95">
        <f>'Bevs(2000-2017)'!S55+'Bevs(2000-2017)'!S134+'Bevs(2000-2017)'!S195</f>
        <v>1911027839</v>
      </c>
      <c r="T8" s="95">
        <f>1282922473+659064012</f>
        <v>1941986485</v>
      </c>
      <c r="U8" s="95">
        <f>1349149437+699700000</f>
        <v>2048849437</v>
      </c>
      <c r="V8" s="132">
        <f>SUM(E8:U8)</f>
        <v>30739906939</v>
      </c>
      <c r="W8" s="105" t="s">
        <v>836</v>
      </c>
      <c r="Y8" s="724"/>
      <c r="Z8" s="240"/>
    </row>
    <row r="9" spans="3:26" s="68" customFormat="1" ht="15" customHeight="1" x14ac:dyDescent="0.3">
      <c r="C9" s="107" t="s">
        <v>291</v>
      </c>
      <c r="D9" s="96" t="s">
        <v>289</v>
      </c>
      <c r="E9" s="90">
        <f t="shared" ref="E9:L9" si="0">E7/E8</f>
        <v>0.81002580382980427</v>
      </c>
      <c r="F9" s="90">
        <f t="shared" si="0"/>
        <v>0.83742746774102639</v>
      </c>
      <c r="G9" s="90">
        <f t="shared" si="0"/>
        <v>0.83784616770367226</v>
      </c>
      <c r="H9" s="90">
        <f t="shared" si="0"/>
        <v>0.81330790467316649</v>
      </c>
      <c r="I9" s="90">
        <f t="shared" si="0"/>
        <v>0.80763979183343471</v>
      </c>
      <c r="J9" s="90">
        <f t="shared" si="0"/>
        <v>0.7981682158796406</v>
      </c>
      <c r="K9" s="90">
        <f t="shared" si="0"/>
        <v>0.81037137733794762</v>
      </c>
      <c r="L9" s="90">
        <f t="shared" si="0"/>
        <v>0.77112397109273345</v>
      </c>
      <c r="M9" s="90">
        <f t="shared" ref="M9:U9" si="1">M7/M8</f>
        <v>0.83847275048457182</v>
      </c>
      <c r="N9" s="90">
        <f t="shared" si="1"/>
        <v>0.84777847979208354</v>
      </c>
      <c r="O9" s="90">
        <f t="shared" si="1"/>
        <v>0.84014300549898102</v>
      </c>
      <c r="P9" s="90">
        <f t="shared" si="1"/>
        <v>0.83260102237485756</v>
      </c>
      <c r="Q9" s="90">
        <f t="shared" si="1"/>
        <v>0.84242304509290489</v>
      </c>
      <c r="R9" s="90">
        <f t="shared" si="1"/>
        <v>0.8383109901460396</v>
      </c>
      <c r="S9" s="90">
        <f t="shared" si="1"/>
        <v>0.83425809999411527</v>
      </c>
      <c r="T9" s="90">
        <f t="shared" si="1"/>
        <v>0.82275241117344855</v>
      </c>
      <c r="U9" s="90">
        <f t="shared" si="1"/>
        <v>0.79639870530906176</v>
      </c>
      <c r="V9" s="485">
        <f>SUM(E7:U7)/SUM(E8:U8)</f>
        <v>0.82286837397377199</v>
      </c>
      <c r="W9" s="101"/>
      <c r="Y9" s="724"/>
      <c r="Z9" s="637"/>
    </row>
    <row r="10" spans="3:26" s="68" customFormat="1" ht="15" customHeight="1" x14ac:dyDescent="0.3">
      <c r="C10" s="108" t="s">
        <v>323</v>
      </c>
      <c r="D10" s="89">
        <v>1</v>
      </c>
      <c r="E10" s="89">
        <v>1</v>
      </c>
      <c r="F10" s="89">
        <v>1</v>
      </c>
      <c r="G10" s="89">
        <v>1</v>
      </c>
      <c r="H10" s="89">
        <v>1</v>
      </c>
      <c r="I10" s="89">
        <v>1</v>
      </c>
      <c r="J10" s="89">
        <v>1</v>
      </c>
      <c r="K10" s="89">
        <v>1</v>
      </c>
      <c r="L10" s="89">
        <v>1</v>
      </c>
      <c r="M10" s="89">
        <v>1</v>
      </c>
      <c r="N10" s="89">
        <v>1</v>
      </c>
      <c r="O10" s="89">
        <v>1</v>
      </c>
      <c r="P10" s="89">
        <v>1</v>
      </c>
      <c r="Q10" s="89">
        <v>1</v>
      </c>
      <c r="R10" s="89">
        <v>1</v>
      </c>
      <c r="S10" s="469">
        <v>1</v>
      </c>
      <c r="T10" s="469">
        <v>1</v>
      </c>
      <c r="U10" s="469">
        <v>1</v>
      </c>
      <c r="V10" s="486">
        <v>1</v>
      </c>
      <c r="W10" s="101"/>
      <c r="Y10" s="737"/>
      <c r="Z10" s="240"/>
    </row>
    <row r="11" spans="3:26" s="68" customFormat="1" ht="15" customHeight="1" x14ac:dyDescent="0.3">
      <c r="C11" s="109"/>
      <c r="D11" s="80"/>
      <c r="E11" s="80"/>
      <c r="F11" s="80"/>
      <c r="G11" s="80"/>
      <c r="H11" s="80"/>
      <c r="I11" s="80"/>
      <c r="J11" s="80"/>
      <c r="K11" s="80"/>
      <c r="L11" s="100"/>
      <c r="M11" s="100"/>
      <c r="N11" s="100"/>
      <c r="O11" s="100"/>
      <c r="P11" s="100"/>
      <c r="Q11" s="100"/>
      <c r="R11" s="100"/>
      <c r="S11" s="470"/>
      <c r="T11" s="80"/>
      <c r="U11" s="80"/>
      <c r="W11" s="101"/>
      <c r="Y11" s="103"/>
      <c r="Z11" s="240"/>
    </row>
    <row r="12" spans="3:26" s="68" customFormat="1" ht="18" customHeight="1" x14ac:dyDescent="0.3">
      <c r="C12" s="110"/>
      <c r="D12" s="745" t="s">
        <v>276</v>
      </c>
      <c r="E12" s="746"/>
      <c r="F12" s="746"/>
      <c r="G12" s="746"/>
      <c r="H12" s="746"/>
      <c r="I12" s="746"/>
      <c r="J12" s="746"/>
      <c r="K12" s="746"/>
      <c r="L12" s="746"/>
      <c r="M12" s="746"/>
      <c r="N12" s="746"/>
      <c r="O12" s="746"/>
      <c r="P12" s="746"/>
      <c r="Q12" s="746"/>
      <c r="R12" s="746"/>
      <c r="S12" s="746"/>
      <c r="T12" s="746"/>
      <c r="U12" s="746"/>
      <c r="V12" s="746"/>
      <c r="W12" s="66"/>
      <c r="Y12" s="738" t="s">
        <v>313</v>
      </c>
      <c r="Z12" s="240"/>
    </row>
    <row r="13" spans="3:26" s="68" customFormat="1" ht="15" customHeight="1" x14ac:dyDescent="0.3">
      <c r="C13" s="110"/>
      <c r="D13" s="70">
        <v>2000</v>
      </c>
      <c r="E13" s="71">
        <v>2001</v>
      </c>
      <c r="F13" s="71">
        <v>2002</v>
      </c>
      <c r="G13" s="71">
        <v>2003</v>
      </c>
      <c r="H13" s="71">
        <v>2004</v>
      </c>
      <c r="I13" s="71">
        <v>2005</v>
      </c>
      <c r="J13" s="71">
        <v>2006</v>
      </c>
      <c r="K13" s="71">
        <v>2007</v>
      </c>
      <c r="L13" s="71">
        <v>2008</v>
      </c>
      <c r="M13" s="71">
        <v>2009</v>
      </c>
      <c r="N13" s="71">
        <v>2010</v>
      </c>
      <c r="O13" s="71">
        <v>2011</v>
      </c>
      <c r="P13" s="71">
        <v>2012</v>
      </c>
      <c r="Q13" s="71">
        <v>2013</v>
      </c>
      <c r="R13" s="71">
        <v>2014</v>
      </c>
      <c r="S13" s="71">
        <v>2015</v>
      </c>
      <c r="T13" s="71">
        <v>2016</v>
      </c>
      <c r="U13" s="71">
        <v>2017</v>
      </c>
      <c r="V13" s="146" t="s">
        <v>285</v>
      </c>
      <c r="W13" s="105"/>
      <c r="Y13" s="739"/>
      <c r="Z13" s="240"/>
    </row>
    <row r="14" spans="3:26" s="68" customFormat="1" ht="15" customHeight="1" x14ac:dyDescent="0.3">
      <c r="C14" s="111" t="s">
        <v>309</v>
      </c>
      <c r="D14" s="99"/>
      <c r="E14" s="99"/>
      <c r="F14" s="99"/>
      <c r="G14" s="78">
        <f>SUM('Paints-Flam-Pest(2000-2017)'!G75,'Paints-Flam-Pest(2000-2017)'!G78)</f>
        <v>1652570</v>
      </c>
      <c r="H14" s="78">
        <f>SUM('Paints-Flam-Pest(2000-2017)'!H75,'Paints-Flam-Pest(2000-2017)'!H78)</f>
        <v>1873820</v>
      </c>
      <c r="I14" s="78">
        <f>SUM('Paints-Flam-Pest(2000-2017)'!I75,'Paints-Flam-Pest(2000-2017)'!I78)</f>
        <v>2181402</v>
      </c>
      <c r="J14" s="78">
        <f>SUM('Paints-Flam-Pest(2000-2017)'!J75,'Paints-Flam-Pest(2000-2017)'!J78)</f>
        <v>2179863</v>
      </c>
      <c r="K14" s="78">
        <f>SUM('Paints-Flam-Pest(2000-2017)'!K75,'Paints-Flam-Pest(2000-2017)'!K78)</f>
        <v>2345989</v>
      </c>
      <c r="L14" s="78">
        <f>SUM('Paints-Flam-Pest(2000-2017)'!L75,'Paints-Flam-Pest(2000-2017)'!L78)</f>
        <v>2717642</v>
      </c>
      <c r="M14" s="78">
        <f>SUM('Paints-Flam-Pest(2000-2017)'!M75,'Paints-Flam-Pest(2000-2017)'!M78)</f>
        <v>2884105</v>
      </c>
      <c r="N14" s="78">
        <f>SUM('Paints-Flam-Pest(2000-2017)'!N75,'Paints-Flam-Pest(2000-2017)'!N78)</f>
        <v>2826206</v>
      </c>
      <c r="O14" s="78">
        <f>SUM('Paints-Flam-Pest(2000-2017)'!O75,'Paints-Flam-Pest(2000-2017)'!O78)</f>
        <v>2842243</v>
      </c>
      <c r="P14" s="78">
        <f>SUM('Paints-Flam-Pest(2000-2017)'!P75,'Paints-Flam-Pest(2000-2017)'!P78)</f>
        <v>2934929</v>
      </c>
      <c r="Q14" s="78">
        <f>SUM('Paints-Flam-Pest(2000-2017)'!Q75,'Paints-Flam-Pest(2000-2017)'!Q78)</f>
        <v>2889357</v>
      </c>
      <c r="R14" s="78">
        <f>SUM('Paints-Flam-Pest(2000-2017)'!R75,'Paints-Flam-Pest(2000-2017)'!R78)</f>
        <v>2981752</v>
      </c>
      <c r="S14" s="78">
        <f>SUM('Paints-Flam-Pest(2000-2017)'!S75,'Paints-Flam-Pest(2000-2017)'!S78)</f>
        <v>3231373</v>
      </c>
      <c r="T14" s="78">
        <f>SUM('Paints-Flam-Pest(2000-2017)'!T75,'Paints-Flam-Pest(2000-2017)'!T78)</f>
        <v>3396025</v>
      </c>
      <c r="U14" s="78">
        <f>SUM('Paints-Flam-Pest(2000-2017)'!U75,'Paints-Flam-Pest(2000-2017)'!U78)</f>
        <v>3313180</v>
      </c>
      <c r="V14" s="142">
        <f>SUM(G14:U14)</f>
        <v>40250456</v>
      </c>
      <c r="W14" s="105" t="s">
        <v>832</v>
      </c>
      <c r="Y14" s="739"/>
      <c r="Z14" s="240"/>
    </row>
    <row r="15" spans="3:26" s="68" customFormat="1" ht="15" customHeight="1" x14ac:dyDescent="0.3">
      <c r="C15" s="112" t="s">
        <v>324</v>
      </c>
      <c r="D15" s="76">
        <v>4000000</v>
      </c>
      <c r="E15" s="76">
        <v>4500000</v>
      </c>
      <c r="F15" s="91">
        <v>5386993</v>
      </c>
      <c r="G15" s="76">
        <v>5683337</v>
      </c>
      <c r="H15" s="76">
        <v>6120203</v>
      </c>
      <c r="I15" s="76">
        <v>6604252</v>
      </c>
      <c r="J15" s="75">
        <v>6862946</v>
      </c>
      <c r="K15" s="75">
        <f>7575072</f>
        <v>7575072</v>
      </c>
      <c r="L15" s="76">
        <v>8787994</v>
      </c>
      <c r="M15" s="76">
        <f>'Paints-Flam-Pest(2000-2017)'!M76+'Paints-Flam-Pest(2000-2017)'!M79+'Paints-Flam-Pest(2000-2017)'!M82+'Paints-Flam-Pest(2000-2017)'!M85</f>
        <v>9321440</v>
      </c>
      <c r="N15" s="76">
        <f>'Paints-Flam-Pest(2000-2017)'!N76+'Paints-Flam-Pest(2000-2017)'!N79+'Paints-Flam-Pest(2000-2017)'!N82+'Paints-Flam-Pest(2000-2017)'!N85</f>
        <v>9889959</v>
      </c>
      <c r="O15" s="76">
        <f>'Paints-Flam-Pest(2000-2017)'!O76+'Paints-Flam-Pest(2000-2017)'!O79+'Paints-Flam-Pest(2000-2017)'!O82+'Paints-Flam-Pest(2000-2017)'!O85</f>
        <v>10170204</v>
      </c>
      <c r="P15" s="76">
        <f>'Paints-Flam-Pest(2000-2017)'!P76+'Paints-Flam-Pest(2000-2017)'!P79+'Paints-Flam-Pest(2000-2017)'!P82+'Paints-Flam-Pest(2000-2017)'!P85</f>
        <v>10381750</v>
      </c>
      <c r="Q15" s="76">
        <f>'Paints-Flam-Pest(2000-2017)'!Q76+'Paints-Flam-Pest(2000-2017)'!Q79+'Paints-Flam-Pest(2000-2017)'!Q82+'Paints-Flam-Pest(2000-2017)'!Q85</f>
        <v>10545260</v>
      </c>
      <c r="R15" s="76">
        <f>'Paints-Flam-Pest(2000-2017)'!R76+'Paints-Flam-Pest(2000-2017)'!R79+'Paints-Flam-Pest(2000-2017)'!R82+'Paints-Flam-Pest(2000-2017)'!R85</f>
        <v>11284867</v>
      </c>
      <c r="S15" s="76">
        <f>'Paints-Flam-Pest(2000-2017)'!S76+'Paints-Flam-Pest(2000-2017)'!S79+'Paints-Flam-Pest(2000-2017)'!S82+'Paints-Flam-Pest(2000-2017)'!S85</f>
        <v>12164752</v>
      </c>
      <c r="T15" s="76">
        <f>'Paints-Flam-Pest(2000-2017)'!T76+'Paints-Flam-Pest(2000-2017)'!T79+'Paints-Flam-Pest(2000-2017)'!T82+'Paints-Flam-Pest(2000-2017)'!T85</f>
        <v>12736822</v>
      </c>
      <c r="U15" s="76">
        <f>'Paints-Flam-Pest(2000-2017)'!U76+'Paints-Flam-Pest(2000-2017)'!U79+'Paints-Flam-Pest(2000-2017)'!U82+'Paints-Flam-Pest(2000-2017)'!U85</f>
        <v>12791822</v>
      </c>
      <c r="V15" s="132">
        <f>SUM(D15:U15)</f>
        <v>154807673</v>
      </c>
      <c r="W15" s="105" t="s">
        <v>833</v>
      </c>
      <c r="Y15" s="739"/>
      <c r="Z15" s="240"/>
    </row>
    <row r="16" spans="3:26" s="68" customFormat="1" ht="15" customHeight="1" x14ac:dyDescent="0.3">
      <c r="C16" s="111" t="s">
        <v>316</v>
      </c>
      <c r="D16" s="78"/>
      <c r="E16" s="78"/>
      <c r="F16" s="79"/>
      <c r="G16" s="78">
        <f>SUM('Paints-Flam-Pest(2000-2017)'!G74,'Paints-Flam-Pest(2000-2017)'!G77)</f>
        <v>30920679</v>
      </c>
      <c r="H16" s="78">
        <f>SUM('Paints-Flam-Pest(2000-2017)'!H74,'Paints-Flam-Pest(2000-2017)'!H77)</f>
        <v>33514191</v>
      </c>
      <c r="I16" s="78">
        <f>SUM('Paints-Flam-Pest(2000-2017)'!I74,'Paints-Flam-Pest(2000-2017)'!I77)</f>
        <v>35316746</v>
      </c>
      <c r="J16" s="78">
        <f>SUM('Paints-Flam-Pest(2000-2017)'!J74,'Paints-Flam-Pest(2000-2017)'!J77)</f>
        <v>37587111</v>
      </c>
      <c r="K16" s="78">
        <f>SUM('Paints-Flam-Pest(2000-2017)'!K74,'Paints-Flam-Pest(2000-2017)'!K77)</f>
        <v>37021461</v>
      </c>
      <c r="L16" s="78">
        <f>SUM('Paints-Flam-Pest(2000-2017)'!L74,'Paints-Flam-Pest(2000-2017)'!L77)</f>
        <v>36191937</v>
      </c>
      <c r="M16" s="78">
        <f>SUM('Paints-Flam-Pest(2000-2017)'!M74,'Paints-Flam-Pest(2000-2017)'!M77)</f>
        <v>32201590</v>
      </c>
      <c r="N16" s="78">
        <f>SUM('Paints-Flam-Pest(2000-2017)'!N74,'Paints-Flam-Pest(2000-2017)'!N77)</f>
        <v>33896648</v>
      </c>
      <c r="O16" s="78">
        <f>SUM('Paints-Flam-Pest(2000-2017)'!O74,'Paints-Flam-Pest(2000-2017)'!O77)</f>
        <v>30271899</v>
      </c>
      <c r="P16" s="78">
        <f>SUM('Paints-Flam-Pest(2000-2017)'!P74,'Paints-Flam-Pest(2000-2017)'!P77)</f>
        <v>29535972</v>
      </c>
      <c r="Q16" s="78">
        <f>SUM('Paints-Flam-Pest(2000-2017)'!Q74,'Paints-Flam-Pest(2000-2017)'!Q77)</f>
        <v>28246820</v>
      </c>
      <c r="R16" s="78">
        <f>SUM('Paints-Flam-Pest(2000-2017)'!R74,'Paints-Flam-Pest(2000-2017)'!R77)</f>
        <v>28386197</v>
      </c>
      <c r="S16" s="78">
        <f>SUM('Paints-Flam-Pest(2000-2017)'!S74,'Paints-Flam-Pest(2000-2017)'!S77)</f>
        <v>30060453</v>
      </c>
      <c r="T16" s="78">
        <f>SUM('Paints-Flam-Pest(2000-2017)'!T74,'Paints-Flam-Pest(2000-2017)'!T77)</f>
        <v>30892805</v>
      </c>
      <c r="U16" s="78">
        <f>SUM('Paints-Flam-Pest(2000-2017)'!U74,'Paints-Flam-Pest(2000-2017)'!U77)</f>
        <v>31439084</v>
      </c>
      <c r="V16" s="131">
        <f>SUM(G16:U16)</f>
        <v>485483593</v>
      </c>
      <c r="W16" s="105" t="s">
        <v>832</v>
      </c>
      <c r="Y16" s="739"/>
      <c r="Z16" s="240"/>
    </row>
    <row r="17" spans="3:26" s="68" customFormat="1" ht="15" customHeight="1" x14ac:dyDescent="0.3">
      <c r="C17" s="112" t="s">
        <v>296</v>
      </c>
      <c r="D17" s="77">
        <v>0.89</v>
      </c>
      <c r="E17" s="77">
        <v>0.79</v>
      </c>
      <c r="F17" s="77">
        <v>0.84</v>
      </c>
      <c r="G17" s="77">
        <v>0.71</v>
      </c>
      <c r="H17" s="77">
        <v>0.62</v>
      </c>
      <c r="I17" s="77">
        <v>0.66</v>
      </c>
      <c r="J17" s="77">
        <v>0.75</v>
      </c>
      <c r="K17" s="77">
        <v>0.75</v>
      </c>
      <c r="L17" s="77">
        <v>0.73</v>
      </c>
      <c r="M17" s="77"/>
      <c r="N17" s="77"/>
      <c r="O17" s="77"/>
      <c r="P17" s="77"/>
      <c r="Q17" s="77"/>
      <c r="R17" s="77"/>
      <c r="S17" s="87"/>
      <c r="T17" s="87"/>
      <c r="U17" s="87"/>
      <c r="V17" s="120"/>
      <c r="W17" s="101"/>
      <c r="Y17" s="739"/>
      <c r="Z17" s="240"/>
    </row>
    <row r="18" spans="3:26" s="68" customFormat="1" ht="15" customHeight="1" x14ac:dyDescent="0.3">
      <c r="C18" s="107" t="s">
        <v>297</v>
      </c>
      <c r="D18" s="73">
        <v>0</v>
      </c>
      <c r="E18" s="73">
        <v>0.21</v>
      </c>
      <c r="F18" s="73">
        <v>0.16300000000000001</v>
      </c>
      <c r="G18" s="73">
        <v>0.28999999999999998</v>
      </c>
      <c r="H18" s="73">
        <v>0.375</v>
      </c>
      <c r="I18" s="73">
        <v>0.34200000000000003</v>
      </c>
      <c r="J18" s="73">
        <v>0.252</v>
      </c>
      <c r="K18" s="73">
        <v>0.249</v>
      </c>
      <c r="L18" s="73">
        <v>0.27</v>
      </c>
      <c r="M18" s="73"/>
      <c r="N18" s="73"/>
      <c r="O18" s="73"/>
      <c r="P18" s="73"/>
      <c r="Q18" s="73"/>
      <c r="R18" s="73"/>
      <c r="S18" s="86"/>
      <c r="T18" s="86"/>
      <c r="U18" s="86"/>
      <c r="V18" s="119"/>
      <c r="W18" s="101"/>
      <c r="Y18" s="739"/>
      <c r="Z18" s="240"/>
    </row>
    <row r="19" spans="3:26" s="68" customFormat="1" ht="15" customHeight="1" x14ac:dyDescent="0.3">
      <c r="C19" s="112" t="s">
        <v>287</v>
      </c>
      <c r="D19" s="76">
        <f>90434+94429</f>
        <v>184863</v>
      </c>
      <c r="E19" s="76">
        <f>56753+113865</f>
        <v>170618</v>
      </c>
      <c r="F19" s="76">
        <f>49254+124263</f>
        <v>173517</v>
      </c>
      <c r="G19" s="76">
        <f>32998+123113</f>
        <v>156111</v>
      </c>
      <c r="H19" s="76">
        <f>71420+84597</f>
        <v>156017</v>
      </c>
      <c r="I19" s="76">
        <f>70378+76373</f>
        <v>146751</v>
      </c>
      <c r="J19" s="76">
        <f>67555+74739</f>
        <v>142294</v>
      </c>
      <c r="K19" s="76"/>
      <c r="L19" s="76"/>
      <c r="M19" s="76"/>
      <c r="N19" s="76"/>
      <c r="O19" s="76"/>
      <c r="P19" s="76"/>
      <c r="Q19" s="76"/>
      <c r="R19" s="76"/>
      <c r="S19" s="87"/>
      <c r="T19" s="87"/>
      <c r="U19" s="87"/>
      <c r="V19" s="121"/>
      <c r="W19" s="101"/>
      <c r="Y19" s="739"/>
      <c r="Z19" s="240"/>
    </row>
    <row r="20" spans="3:26" s="68" customFormat="1" ht="15" customHeight="1" x14ac:dyDescent="0.3">
      <c r="C20" s="111" t="s">
        <v>298</v>
      </c>
      <c r="D20" s="82">
        <v>0.31</v>
      </c>
      <c r="E20" s="82">
        <v>0.35449999999999998</v>
      </c>
      <c r="F20" s="82">
        <v>0.39400000000000002</v>
      </c>
      <c r="G20" s="82">
        <v>0.40300000000000002</v>
      </c>
      <c r="H20" s="82">
        <v>0.40899999999999997</v>
      </c>
      <c r="I20" s="82">
        <v>0.3503</v>
      </c>
      <c r="J20" s="82">
        <v>0.34539999999999998</v>
      </c>
      <c r="K20" s="72"/>
      <c r="L20" s="72"/>
      <c r="M20" s="72"/>
      <c r="N20" s="72"/>
      <c r="O20" s="72"/>
      <c r="P20" s="72"/>
      <c r="Q20" s="72"/>
      <c r="R20" s="72"/>
      <c r="S20" s="86"/>
      <c r="T20" s="86"/>
      <c r="U20" s="86"/>
      <c r="V20" s="119"/>
      <c r="W20" s="101"/>
      <c r="Y20" s="740"/>
      <c r="Z20" s="240"/>
    </row>
    <row r="21" spans="3:26" s="68" customFormat="1" ht="15" customHeight="1" x14ac:dyDescent="0.3">
      <c r="C21" s="110"/>
      <c r="D21" s="80"/>
      <c r="E21" s="80"/>
      <c r="F21" s="80"/>
      <c r="G21" s="80"/>
      <c r="H21" s="80"/>
      <c r="I21" s="80"/>
      <c r="J21" s="80"/>
      <c r="K21" s="80"/>
      <c r="L21" s="80"/>
      <c r="M21" s="80"/>
      <c r="N21" s="80"/>
      <c r="O21" s="80"/>
      <c r="P21" s="80"/>
      <c r="Q21" s="80"/>
      <c r="R21" s="80"/>
      <c r="S21" s="470"/>
      <c r="T21" s="80"/>
      <c r="U21" s="80"/>
      <c r="W21" s="101"/>
      <c r="Y21" s="101"/>
      <c r="Z21" s="240"/>
    </row>
    <row r="22" spans="3:26" s="68" customFormat="1" ht="18" customHeight="1" x14ac:dyDescent="0.3">
      <c r="C22" s="110"/>
      <c r="D22" s="745" t="s">
        <v>278</v>
      </c>
      <c r="E22" s="746"/>
      <c r="F22" s="746"/>
      <c r="G22" s="746"/>
      <c r="H22" s="746"/>
      <c r="I22" s="746"/>
      <c r="J22" s="746"/>
      <c r="K22" s="746"/>
      <c r="L22" s="746"/>
      <c r="M22" s="746"/>
      <c r="N22" s="746"/>
      <c r="O22" s="746"/>
      <c r="P22" s="746"/>
      <c r="Q22" s="746"/>
      <c r="R22" s="746"/>
      <c r="S22" s="746"/>
      <c r="T22" s="746"/>
      <c r="U22" s="746"/>
      <c r="V22" s="746"/>
      <c r="W22" s="65"/>
      <c r="Y22" s="741" t="s">
        <v>305</v>
      </c>
      <c r="Z22" s="240"/>
    </row>
    <row r="23" spans="3:26" s="68" customFormat="1" ht="15" customHeight="1" x14ac:dyDescent="0.3">
      <c r="C23" s="110"/>
      <c r="D23" s="70">
        <v>2000</v>
      </c>
      <c r="E23" s="71">
        <v>2001</v>
      </c>
      <c r="F23" s="71">
        <v>2002</v>
      </c>
      <c r="G23" s="71">
        <v>2003</v>
      </c>
      <c r="H23" s="71">
        <v>2004</v>
      </c>
      <c r="I23" s="71">
        <v>2005</v>
      </c>
      <c r="J23" s="71">
        <v>2006</v>
      </c>
      <c r="K23" s="71">
        <v>2007</v>
      </c>
      <c r="L23" s="71">
        <v>2008</v>
      </c>
      <c r="M23" s="71">
        <v>2009</v>
      </c>
      <c r="N23" s="71">
        <v>2010</v>
      </c>
      <c r="O23" s="71">
        <v>2011</v>
      </c>
      <c r="P23" s="71">
        <v>2012</v>
      </c>
      <c r="Q23" s="71">
        <v>2013</v>
      </c>
      <c r="R23" s="71">
        <v>2014</v>
      </c>
      <c r="S23" s="71">
        <v>2015</v>
      </c>
      <c r="T23" s="71">
        <v>2016</v>
      </c>
      <c r="U23" s="71">
        <v>2017</v>
      </c>
      <c r="V23" s="71" t="s">
        <v>285</v>
      </c>
      <c r="W23" s="101"/>
      <c r="Y23" s="742"/>
      <c r="Z23" s="240"/>
    </row>
    <row r="24" spans="3:26" s="68" customFormat="1" ht="15" customHeight="1" x14ac:dyDescent="0.3">
      <c r="C24" s="107" t="s">
        <v>322</v>
      </c>
      <c r="D24" s="97">
        <v>4490.1000000000004</v>
      </c>
      <c r="E24" s="79">
        <v>10500</v>
      </c>
      <c r="F24" s="79">
        <v>18881</v>
      </c>
      <c r="G24" s="79">
        <v>10094</v>
      </c>
      <c r="H24" s="79">
        <v>15503</v>
      </c>
      <c r="I24" s="79">
        <v>18012</v>
      </c>
      <c r="J24" s="79">
        <v>19995</v>
      </c>
      <c r="K24" s="79">
        <v>23875</v>
      </c>
      <c r="L24" s="79">
        <v>35704</v>
      </c>
      <c r="M24" s="79">
        <f>'Pharm(2000-2017)'!M50</f>
        <v>51297</v>
      </c>
      <c r="N24" s="79">
        <f>'Pharm(2000-2017)'!N50</f>
        <v>60543</v>
      </c>
      <c r="O24" s="79">
        <f>'Pharm(2000-2017)'!O50</f>
        <v>69044</v>
      </c>
      <c r="P24" s="79">
        <f>'Pharm(2000-2017)'!P50</f>
        <v>87429</v>
      </c>
      <c r="Q24" s="79">
        <f>'Pharm(2000-2017)'!Q50</f>
        <v>93091</v>
      </c>
      <c r="R24" s="79">
        <f>'Pharm(2000-2017)'!R50</f>
        <v>96676.93</v>
      </c>
      <c r="S24" s="79">
        <f>'Pharm(2000-2017)'!S50</f>
        <v>100174</v>
      </c>
      <c r="T24" s="79">
        <f>'Pharm(2000-2017)'!T50</f>
        <v>88673</v>
      </c>
      <c r="U24" s="79">
        <f>'Pharm(2000-2017)'!U50</f>
        <v>91980.01</v>
      </c>
      <c r="V24" s="141">
        <v>615135</v>
      </c>
      <c r="W24" s="106" t="s">
        <v>834</v>
      </c>
      <c r="Y24" s="743"/>
      <c r="Z24" s="240"/>
    </row>
    <row r="25" spans="3:26" s="68" customFormat="1" ht="15" customHeight="1" x14ac:dyDescent="0.3">
      <c r="C25" s="109"/>
      <c r="S25" s="92"/>
      <c r="W25" s="101"/>
      <c r="Y25" s="101"/>
      <c r="Z25" s="240"/>
    </row>
    <row r="26" spans="3:26" s="68" customFormat="1" ht="18" customHeight="1" x14ac:dyDescent="0.3">
      <c r="C26" s="110"/>
      <c r="D26" s="84"/>
      <c r="E26" s="745" t="s">
        <v>277</v>
      </c>
      <c r="F26" s="746"/>
      <c r="G26" s="746"/>
      <c r="H26" s="746"/>
      <c r="I26" s="746"/>
      <c r="J26" s="746"/>
      <c r="K26" s="746"/>
      <c r="L26" s="746"/>
      <c r="M26" s="746"/>
      <c r="N26" s="746"/>
      <c r="O26" s="746"/>
      <c r="P26" s="746"/>
      <c r="Q26" s="746"/>
      <c r="R26" s="746"/>
      <c r="S26" s="746"/>
      <c r="T26" s="746"/>
      <c r="U26" s="746"/>
      <c r="V26" s="746"/>
      <c r="W26" s="66"/>
      <c r="Y26" s="744" t="s">
        <v>312</v>
      </c>
      <c r="Z26" s="240"/>
    </row>
    <row r="27" spans="3:26" s="68" customFormat="1" ht="15" customHeight="1" x14ac:dyDescent="0.3">
      <c r="C27" s="110"/>
      <c r="D27" s="85"/>
      <c r="E27" s="70">
        <v>2001</v>
      </c>
      <c r="F27" s="71">
        <v>2002</v>
      </c>
      <c r="G27" s="71">
        <v>2003</v>
      </c>
      <c r="H27" s="71">
        <v>2004</v>
      </c>
      <c r="I27" s="71">
        <v>2005</v>
      </c>
      <c r="J27" s="71">
        <v>2006</v>
      </c>
      <c r="K27" s="71">
        <v>2007</v>
      </c>
      <c r="L27" s="71">
        <v>2008</v>
      </c>
      <c r="M27" s="71">
        <v>2009</v>
      </c>
      <c r="N27" s="71">
        <v>2010</v>
      </c>
      <c r="O27" s="71">
        <v>2011</v>
      </c>
      <c r="P27" s="71">
        <v>2012</v>
      </c>
      <c r="Q27" s="71">
        <v>2013</v>
      </c>
      <c r="R27" s="71">
        <v>2014</v>
      </c>
      <c r="S27" s="71">
        <v>2015</v>
      </c>
      <c r="T27" s="71">
        <v>2016</v>
      </c>
      <c r="U27" s="71">
        <v>2017</v>
      </c>
      <c r="V27" s="71" t="s">
        <v>285</v>
      </c>
      <c r="W27" s="101"/>
      <c r="Y27" s="726"/>
      <c r="Z27" s="240"/>
    </row>
    <row r="28" spans="3:26" s="68" customFormat="1" ht="15" customHeight="1" x14ac:dyDescent="0.3">
      <c r="C28" s="107" t="s">
        <v>301</v>
      </c>
      <c r="D28" s="86"/>
      <c r="E28" s="73">
        <v>0.92</v>
      </c>
      <c r="F28" s="73">
        <v>1</v>
      </c>
      <c r="G28" s="73">
        <v>1</v>
      </c>
      <c r="H28" s="73">
        <v>1</v>
      </c>
      <c r="I28" s="73">
        <v>1</v>
      </c>
      <c r="J28" s="73">
        <v>1</v>
      </c>
      <c r="K28" s="73">
        <v>1</v>
      </c>
      <c r="L28" s="73">
        <v>1</v>
      </c>
      <c r="M28" s="73">
        <v>1</v>
      </c>
      <c r="N28" s="73">
        <v>1</v>
      </c>
      <c r="O28" s="73">
        <v>1</v>
      </c>
      <c r="P28" s="73">
        <v>1</v>
      </c>
      <c r="Q28" s="73">
        <v>1</v>
      </c>
      <c r="R28" s="73">
        <v>1</v>
      </c>
      <c r="S28" s="73">
        <v>1</v>
      </c>
      <c r="T28" s="73">
        <v>1</v>
      </c>
      <c r="U28" s="73">
        <v>1</v>
      </c>
      <c r="V28" s="133">
        <v>1</v>
      </c>
      <c r="W28" s="101"/>
      <c r="Y28" s="726"/>
      <c r="Z28" s="240"/>
    </row>
    <row r="29" spans="3:26" s="68" customFormat="1" ht="15" customHeight="1" x14ac:dyDescent="0.3">
      <c r="C29" s="108" t="s">
        <v>299</v>
      </c>
      <c r="D29" s="87"/>
      <c r="E29" s="88"/>
      <c r="F29" s="88"/>
      <c r="G29" s="89">
        <v>1</v>
      </c>
      <c r="H29" s="77">
        <v>1</v>
      </c>
      <c r="I29" s="77">
        <v>1</v>
      </c>
      <c r="J29" s="77">
        <v>1</v>
      </c>
      <c r="K29" s="77">
        <v>1</v>
      </c>
      <c r="L29" s="77">
        <v>1</v>
      </c>
      <c r="M29" s="77">
        <v>1</v>
      </c>
      <c r="N29" s="77">
        <v>1</v>
      </c>
      <c r="O29" s="77">
        <v>1</v>
      </c>
      <c r="P29" s="77">
        <v>1</v>
      </c>
      <c r="Q29" s="77">
        <v>1</v>
      </c>
      <c r="R29" s="77">
        <v>1</v>
      </c>
      <c r="S29" s="77">
        <v>1</v>
      </c>
      <c r="T29" s="77">
        <v>1</v>
      </c>
      <c r="U29" s="77">
        <v>1</v>
      </c>
      <c r="V29" s="147">
        <v>1</v>
      </c>
      <c r="W29" s="101"/>
      <c r="Y29" s="726"/>
      <c r="Z29" s="240"/>
    </row>
    <row r="30" spans="3:26" s="68" customFormat="1" ht="15" customHeight="1" x14ac:dyDescent="0.3">
      <c r="C30" s="107" t="s">
        <v>300</v>
      </c>
      <c r="D30" s="86"/>
      <c r="E30" s="90">
        <v>1</v>
      </c>
      <c r="F30" s="90">
        <v>1</v>
      </c>
      <c r="G30" s="90">
        <v>1</v>
      </c>
      <c r="H30" s="90">
        <v>1</v>
      </c>
      <c r="I30" s="90">
        <v>1</v>
      </c>
      <c r="J30" s="90">
        <v>1</v>
      </c>
      <c r="K30" s="90">
        <v>1</v>
      </c>
      <c r="L30" s="90">
        <v>1</v>
      </c>
      <c r="M30" s="90">
        <v>1</v>
      </c>
      <c r="N30" s="90">
        <v>1</v>
      </c>
      <c r="O30" s="90">
        <v>1</v>
      </c>
      <c r="P30" s="90">
        <v>1</v>
      </c>
      <c r="Q30" s="90">
        <v>1</v>
      </c>
      <c r="R30" s="90">
        <v>1</v>
      </c>
      <c r="S30" s="90">
        <v>1</v>
      </c>
      <c r="T30" s="90">
        <v>1</v>
      </c>
      <c r="U30" s="90">
        <v>1</v>
      </c>
      <c r="V30" s="133">
        <v>1</v>
      </c>
      <c r="W30" s="101"/>
      <c r="Y30" s="726"/>
      <c r="Z30" s="240"/>
    </row>
    <row r="31" spans="3:26" s="68" customFormat="1" ht="15" customHeight="1" x14ac:dyDescent="0.3">
      <c r="C31" s="108" t="s">
        <v>310</v>
      </c>
      <c r="D31" s="87"/>
      <c r="E31" s="89"/>
      <c r="F31" s="89"/>
      <c r="G31" s="76">
        <v>45484</v>
      </c>
      <c r="H31" s="76">
        <v>49224</v>
      </c>
      <c r="I31" s="76">
        <v>54386</v>
      </c>
      <c r="J31" s="76">
        <v>58516</v>
      </c>
      <c r="K31" s="76">
        <v>65746</v>
      </c>
      <c r="L31" s="76">
        <v>92872</v>
      </c>
      <c r="M31" s="76">
        <f>'Paints-Flam-Pest(2000-2017)'!M81</f>
        <v>87872</v>
      </c>
      <c r="N31" s="76">
        <f>'Paints-Flam-Pest(2000-2017)'!N81</f>
        <v>86792</v>
      </c>
      <c r="O31" s="76">
        <f>'Paints-Flam-Pest(2000-2017)'!O81</f>
        <v>93980</v>
      </c>
      <c r="P31" s="76">
        <f>'Paints-Flam-Pest(2000-2017)'!P81</f>
        <v>99060</v>
      </c>
      <c r="Q31" s="76">
        <f>'Paints-Flam-Pest(2000-2017)'!Q81</f>
        <v>105078</v>
      </c>
      <c r="R31" s="76">
        <f>'Paints-Flam-Pest(2000-2017)'!R81</f>
        <v>112478</v>
      </c>
      <c r="S31" s="76">
        <f>'Paints-Flam-Pest(2000-2017)'!S81</f>
        <v>130457</v>
      </c>
      <c r="T31" s="76">
        <f>'Paints-Flam-Pest(2000-2017)'!T81</f>
        <v>152460</v>
      </c>
      <c r="U31" s="76">
        <f>'Paints-Flam-Pest(2000-2017)'!U81</f>
        <v>156537</v>
      </c>
      <c r="V31" s="487">
        <f t="shared" ref="V31:V36" si="2">SUM(G31:U31)</f>
        <v>1390942</v>
      </c>
      <c r="W31" s="105" t="s">
        <v>832</v>
      </c>
      <c r="Y31" s="726"/>
      <c r="Z31" s="240"/>
    </row>
    <row r="32" spans="3:26" s="68" customFormat="1" ht="15" customHeight="1" x14ac:dyDescent="0.3">
      <c r="C32" s="107" t="s">
        <v>314</v>
      </c>
      <c r="D32" s="86"/>
      <c r="E32" s="90"/>
      <c r="F32" s="90"/>
      <c r="G32" s="78">
        <f>'Paints-Flam-Pest(2000-2017)'!G80</f>
        <v>3508158</v>
      </c>
      <c r="H32" s="78">
        <f>'Paints-Flam-Pest(2000-2017)'!H80</f>
        <v>3594681</v>
      </c>
      <c r="I32" s="78">
        <f>'Paints-Flam-Pest(2000-2017)'!I80</f>
        <v>5279334</v>
      </c>
      <c r="J32" s="78">
        <f>'Paints-Flam-Pest(2000-2017)'!J80</f>
        <v>4351252</v>
      </c>
      <c r="K32" s="78">
        <f>'Paints-Flam-Pest(2000-2017)'!K80</f>
        <v>4447739</v>
      </c>
      <c r="L32" s="78">
        <f>'Paints-Flam-Pest(2000-2017)'!L80</f>
        <v>3940716</v>
      </c>
      <c r="M32" s="78">
        <f>'Paints-Flam-Pest(2000-2017)'!M80</f>
        <v>3404010</v>
      </c>
      <c r="N32" s="78">
        <f>'Paints-Flam-Pest(2000-2017)'!N80</f>
        <v>3310459</v>
      </c>
      <c r="O32" s="78">
        <f>'Paints-Flam-Pest(2000-2017)'!O80</f>
        <v>3368510</v>
      </c>
      <c r="P32" s="78">
        <f>'Paints-Flam-Pest(2000-2017)'!P80</f>
        <v>2569270</v>
      </c>
      <c r="Q32" s="78">
        <f>'Paints-Flam-Pest(2000-2017)'!Q80</f>
        <v>3390392</v>
      </c>
      <c r="R32" s="78">
        <f>'Paints-Flam-Pest(2000-2017)'!R80</f>
        <v>3124236</v>
      </c>
      <c r="S32" s="78">
        <f>'Paints-Flam-Pest(2000-2017)'!S80</f>
        <v>2915524</v>
      </c>
      <c r="T32" s="78">
        <f>'Paints-Flam-Pest(2000-2017)'!T80</f>
        <v>2757483</v>
      </c>
      <c r="U32" s="78">
        <f>'Paints-Flam-Pest(2000-2017)'!U80</f>
        <v>2992811</v>
      </c>
      <c r="V32" s="142">
        <f t="shared" si="2"/>
        <v>52954575</v>
      </c>
      <c r="W32" s="105" t="s">
        <v>832</v>
      </c>
      <c r="Y32" s="726"/>
      <c r="Z32" s="240"/>
    </row>
    <row r="33" spans="3:45" s="68" customFormat="1" ht="15" customHeight="1" x14ac:dyDescent="0.3">
      <c r="C33" s="108" t="s">
        <v>311</v>
      </c>
      <c r="D33" s="87"/>
      <c r="E33" s="89"/>
      <c r="F33" s="89"/>
      <c r="G33" s="76">
        <v>8760</v>
      </c>
      <c r="H33" s="76">
        <v>8880</v>
      </c>
      <c r="I33" s="76">
        <v>7656</v>
      </c>
      <c r="J33" s="76">
        <v>10716</v>
      </c>
      <c r="K33" s="76">
        <v>12431</v>
      </c>
      <c r="L33" s="76">
        <v>16076</v>
      </c>
      <c r="M33" s="76">
        <f>'Paints-Flam-Pest(2000-2017)'!M84</f>
        <v>16249</v>
      </c>
      <c r="N33" s="76">
        <f>'Paints-Flam-Pest(2000-2017)'!N84</f>
        <v>17158</v>
      </c>
      <c r="O33" s="76">
        <f>'Paints-Flam-Pest(2000-2017)'!O84</f>
        <v>19022</v>
      </c>
      <c r="P33" s="76">
        <f>'Paints-Flam-Pest(2000-2017)'!P84</f>
        <v>19678</v>
      </c>
      <c r="Q33" s="76">
        <f>'Paints-Flam-Pest(2000-2017)'!Q84</f>
        <v>17897</v>
      </c>
      <c r="R33" s="76">
        <f>'Paints-Flam-Pest(2000-2017)'!R84</f>
        <v>21679</v>
      </c>
      <c r="S33" s="76">
        <f>'Paints-Flam-Pest(2000-2017)'!S84</f>
        <v>24910</v>
      </c>
      <c r="T33" s="76">
        <f>'Paints-Flam-Pest(2000-2017)'!T84</f>
        <v>27768</v>
      </c>
      <c r="U33" s="76">
        <f>'Paints-Flam-Pest(2000-2017)'!U84</f>
        <v>22725</v>
      </c>
      <c r="V33" s="487">
        <f t="shared" si="2"/>
        <v>251605</v>
      </c>
      <c r="W33" s="105" t="s">
        <v>832</v>
      </c>
      <c r="Y33" s="726"/>
      <c r="Z33" s="240"/>
    </row>
    <row r="34" spans="3:45" s="68" customFormat="1" ht="15" customHeight="1" x14ac:dyDescent="0.3">
      <c r="C34" s="107" t="s">
        <v>315</v>
      </c>
      <c r="D34" s="86"/>
      <c r="E34" s="90"/>
      <c r="F34" s="90"/>
      <c r="G34" s="78">
        <f>'Paints-Flam-Pest(2000-2017)'!G83</f>
        <v>220914</v>
      </c>
      <c r="H34" s="78">
        <f>'Paints-Flam-Pest(2000-2017)'!H83</f>
        <v>125654</v>
      </c>
      <c r="I34" s="78">
        <f>'Paints-Flam-Pest(2000-2017)'!I83</f>
        <v>125735</v>
      </c>
      <c r="J34" s="78">
        <f>'Paints-Flam-Pest(2000-2017)'!J83</f>
        <v>175702</v>
      </c>
      <c r="K34" s="78">
        <f>'Paints-Flam-Pest(2000-2017)'!K83</f>
        <v>177055</v>
      </c>
      <c r="L34" s="78">
        <f>'Paints-Flam-Pest(2000-2017)'!L83</f>
        <v>189178</v>
      </c>
      <c r="M34" s="78">
        <f>'Paints-Flam-Pest(2000-2017)'!M83</f>
        <v>159428</v>
      </c>
      <c r="N34" s="78">
        <f>'Paints-Flam-Pest(2000-2017)'!N83</f>
        <v>188649</v>
      </c>
      <c r="O34" s="78">
        <f>'Paints-Flam-Pest(2000-2017)'!O83</f>
        <v>175535</v>
      </c>
      <c r="P34" s="78">
        <f>'Paints-Flam-Pest(2000-2017)'!P83</f>
        <v>98851</v>
      </c>
      <c r="Q34" s="78">
        <f>'Paints-Flam-Pest(2000-2017)'!Q83</f>
        <v>149310</v>
      </c>
      <c r="R34" s="78">
        <f>'Paints-Flam-Pest(2000-2017)'!R83</f>
        <v>153594</v>
      </c>
      <c r="S34" s="78">
        <f>'Paints-Flam-Pest(2000-2017)'!S83</f>
        <v>114866</v>
      </c>
      <c r="T34" s="78">
        <f>'Paints-Flam-Pest(2000-2017)'!T83</f>
        <v>117064</v>
      </c>
      <c r="U34" s="78">
        <f>'Paints-Flam-Pest(2000-2017)'!U83</f>
        <v>125869</v>
      </c>
      <c r="V34" s="142">
        <f t="shared" si="2"/>
        <v>2297404</v>
      </c>
      <c r="W34" s="105" t="s">
        <v>832</v>
      </c>
      <c r="Y34" s="726"/>
      <c r="Z34" s="240"/>
    </row>
    <row r="35" spans="3:45" s="68" customFormat="1" ht="15" customHeight="1" x14ac:dyDescent="0.3">
      <c r="C35" s="108" t="s">
        <v>325</v>
      </c>
      <c r="D35" s="87"/>
      <c r="E35" s="76">
        <v>87696</v>
      </c>
      <c r="F35" s="91">
        <v>93170</v>
      </c>
      <c r="G35" s="76">
        <v>121746</v>
      </c>
      <c r="H35" s="76">
        <v>139141</v>
      </c>
      <c r="I35" s="76">
        <v>147688</v>
      </c>
      <c r="J35" s="76">
        <v>159840</v>
      </c>
      <c r="K35" s="76">
        <v>179092</v>
      </c>
      <c r="L35" s="76">
        <v>213408</v>
      </c>
      <c r="M35" s="76">
        <f>'Paints-Flam-Pest(2000-2017)'!M82</f>
        <v>215568</v>
      </c>
      <c r="N35" s="76">
        <f>'Paints-Flam-Pest(2000-2017)'!N82</f>
        <v>258345</v>
      </c>
      <c r="O35" s="76">
        <f>'Paints-Flam-Pest(2000-2017)'!O82</f>
        <v>289930</v>
      </c>
      <c r="P35" s="76">
        <f>'Paints-Flam-Pest(2000-2017)'!P82</f>
        <v>301760</v>
      </c>
      <c r="Q35" s="76">
        <f>'Paints-Flam-Pest(2000-2017)'!Q82</f>
        <v>305516</v>
      </c>
      <c r="R35" s="76">
        <f>'Paints-Flam-Pest(2000-2017)'!R82</f>
        <v>344010</v>
      </c>
      <c r="S35" s="76">
        <f>'Paints-Flam-Pest(2000-2017)'!S82</f>
        <v>377111</v>
      </c>
      <c r="T35" s="76">
        <f>'Paints-Flam-Pest(2000-2017)'!T82</f>
        <v>424527</v>
      </c>
      <c r="U35" s="76">
        <f>'Paints-Flam-Pest(2000-2017)'!U82</f>
        <v>398190</v>
      </c>
      <c r="V35" s="487">
        <f t="shared" si="2"/>
        <v>3875872</v>
      </c>
      <c r="W35" s="105" t="s">
        <v>832</v>
      </c>
      <c r="Y35" s="726"/>
      <c r="Z35" s="240"/>
    </row>
    <row r="36" spans="3:45" s="68" customFormat="1" ht="15" customHeight="1" x14ac:dyDescent="0.3">
      <c r="C36" s="107" t="s">
        <v>326</v>
      </c>
      <c r="D36" s="86"/>
      <c r="E36" s="78">
        <v>19008</v>
      </c>
      <c r="F36" s="79">
        <v>25056</v>
      </c>
      <c r="G36" s="78">
        <v>31536</v>
      </c>
      <c r="H36" s="78">
        <v>31968</v>
      </c>
      <c r="I36" s="78">
        <v>28512</v>
      </c>
      <c r="J36" s="78">
        <v>38578</v>
      </c>
      <c r="K36" s="78">
        <v>44020</v>
      </c>
      <c r="L36" s="78">
        <v>54259</v>
      </c>
      <c r="M36" s="78">
        <f>'Paints-Flam-Pest(2000-2017)'!M85</f>
        <v>49486</v>
      </c>
      <c r="N36" s="78">
        <f>'Paints-Flam-Pest(2000-2017)'!N85</f>
        <v>66182</v>
      </c>
      <c r="O36" s="78">
        <f>'Paints-Flam-Pest(2000-2017)'!O85</f>
        <v>69638</v>
      </c>
      <c r="P36" s="78">
        <f>'Paints-Flam-Pest(2000-2017)'!P85</f>
        <v>75902</v>
      </c>
      <c r="Q36" s="78">
        <f>'Paints-Flam-Pest(2000-2017)'!Q85</f>
        <v>70286</v>
      </c>
      <c r="R36" s="78">
        <f>'Paints-Flam-Pest(2000-2017)'!R85</f>
        <v>92578</v>
      </c>
      <c r="S36" s="78">
        <f>'Paints-Flam-Pest(2000-2017)'!S85</f>
        <v>93917</v>
      </c>
      <c r="T36" s="78">
        <f>'Paints-Flam-Pest(2000-2017)'!T85</f>
        <v>100613</v>
      </c>
      <c r="U36" s="78">
        <f>'Paints-Flam-Pest(2000-2017)'!U85</f>
        <v>98172</v>
      </c>
      <c r="V36" s="142">
        <f t="shared" si="2"/>
        <v>945647</v>
      </c>
      <c r="W36" s="105" t="s">
        <v>832</v>
      </c>
      <c r="Y36" s="727"/>
      <c r="Z36" s="240"/>
    </row>
    <row r="37" spans="3:45" s="68" customFormat="1" ht="15" customHeight="1" x14ac:dyDescent="0.3">
      <c r="C37" s="109"/>
      <c r="D37" s="101"/>
      <c r="E37" s="101"/>
      <c r="F37" s="101"/>
      <c r="G37" s="101"/>
      <c r="H37" s="101"/>
      <c r="I37" s="101"/>
      <c r="J37" s="101"/>
      <c r="K37" s="101"/>
      <c r="L37" s="101"/>
      <c r="M37" s="101"/>
      <c r="N37" s="101"/>
      <c r="O37" s="101"/>
      <c r="P37" s="101"/>
      <c r="Q37" s="101"/>
      <c r="R37" s="101"/>
      <c r="S37" s="92"/>
      <c r="W37" s="101"/>
      <c r="Y37" s="101"/>
      <c r="Z37" s="240"/>
    </row>
    <row r="38" spans="3:45" s="68" customFormat="1" ht="18" customHeight="1" x14ac:dyDescent="0.3">
      <c r="C38" s="109"/>
      <c r="D38" s="80"/>
      <c r="E38" s="80"/>
      <c r="F38" s="69"/>
      <c r="G38" s="721" t="s">
        <v>279</v>
      </c>
      <c r="H38" s="721"/>
      <c r="I38" s="721"/>
      <c r="J38" s="721"/>
      <c r="K38" s="721"/>
      <c r="L38" s="721"/>
      <c r="M38" s="721"/>
      <c r="N38" s="721"/>
      <c r="O38" s="721"/>
      <c r="P38" s="721"/>
      <c r="Q38" s="721"/>
      <c r="R38" s="721"/>
      <c r="S38" s="721"/>
      <c r="T38" s="721"/>
      <c r="U38" s="721"/>
      <c r="V38" s="721"/>
      <c r="W38" s="65"/>
      <c r="Y38" s="723" t="s">
        <v>306</v>
      </c>
      <c r="Z38" s="240"/>
    </row>
    <row r="39" spans="3:45" s="68" customFormat="1" ht="15" customHeight="1" x14ac:dyDescent="0.3">
      <c r="C39" s="109"/>
      <c r="F39" s="69"/>
      <c r="G39" s="70">
        <v>2003</v>
      </c>
      <c r="H39" s="71">
        <v>2004</v>
      </c>
      <c r="I39" s="71">
        <v>2005</v>
      </c>
      <c r="J39" s="71">
        <v>2006</v>
      </c>
      <c r="K39" s="71">
        <v>2007</v>
      </c>
      <c r="L39" s="71">
        <v>2008</v>
      </c>
      <c r="M39" s="71">
        <v>2009</v>
      </c>
      <c r="N39" s="71">
        <v>2010</v>
      </c>
      <c r="O39" s="71">
        <v>2011</v>
      </c>
      <c r="P39" s="71">
        <v>2012</v>
      </c>
      <c r="Q39" s="71">
        <v>2013</v>
      </c>
      <c r="R39" s="71">
        <v>2014</v>
      </c>
      <c r="S39" s="71">
        <v>2015</v>
      </c>
      <c r="T39" s="71">
        <v>2016</v>
      </c>
      <c r="U39" s="71">
        <v>2017</v>
      </c>
      <c r="V39" s="71" t="s">
        <v>285</v>
      </c>
      <c r="W39" s="101"/>
      <c r="Y39" s="724"/>
      <c r="Z39" s="240"/>
      <c r="AK39" s="240"/>
      <c r="AS39" s="240"/>
    </row>
    <row r="40" spans="3:45" s="68" customFormat="1" ht="15" customHeight="1" x14ac:dyDescent="0.3">
      <c r="C40" s="107" t="s">
        <v>320</v>
      </c>
      <c r="D40" s="72"/>
      <c r="E40" s="72"/>
      <c r="F40" s="72"/>
      <c r="G40" s="72"/>
      <c r="H40" s="82">
        <v>0.72</v>
      </c>
      <c r="I40" s="82">
        <v>0.73</v>
      </c>
      <c r="J40" s="82">
        <v>0.71</v>
      </c>
      <c r="K40" s="82">
        <v>0.70299999999999996</v>
      </c>
      <c r="L40" s="82">
        <v>0.72499999999999998</v>
      </c>
      <c r="M40" s="82">
        <f>'Oil(2003-2017) '!I7</f>
        <v>0.76900000000000002</v>
      </c>
      <c r="N40" s="82">
        <f>'Oil(2003-2017) '!J7</f>
        <v>0.79300000000000004</v>
      </c>
      <c r="O40" s="82">
        <f>'Oil(2003-2017) '!K7</f>
        <v>0.73299999999999998</v>
      </c>
      <c r="P40" s="82">
        <f>'Oil(2003-2017) '!L7</f>
        <v>0.79300000000000004</v>
      </c>
      <c r="Q40" s="82">
        <f>'Oil(2003-2017) '!M7</f>
        <v>0.746</v>
      </c>
      <c r="R40" s="82">
        <f>'Oil(2003-2017) '!N7</f>
        <v>0.7389</v>
      </c>
      <c r="S40" s="82">
        <f>'Oil(2003-2017) '!O7</f>
        <v>0.6925</v>
      </c>
      <c r="T40" s="82">
        <f>'Oil(2003-2017) '!P7</f>
        <v>0.71579999999999999</v>
      </c>
      <c r="U40" s="82">
        <f>'Oil(2003-2017) '!Q7</f>
        <v>0.68559999999999999</v>
      </c>
      <c r="V40" s="133">
        <v>0.74</v>
      </c>
      <c r="W40" s="101"/>
      <c r="Y40" s="724"/>
      <c r="Z40" s="240"/>
      <c r="AH40" s="240"/>
      <c r="AK40" s="240"/>
      <c r="AS40" s="240"/>
    </row>
    <row r="41" spans="3:45" s="68" customFormat="1" ht="15" customHeight="1" x14ac:dyDescent="0.3">
      <c r="C41" s="108" t="s">
        <v>321</v>
      </c>
      <c r="D41" s="75"/>
      <c r="E41" s="75"/>
      <c r="F41" s="75"/>
      <c r="G41" s="75"/>
      <c r="H41" s="81">
        <v>0.82</v>
      </c>
      <c r="I41" s="81">
        <v>0.81</v>
      </c>
      <c r="J41" s="81">
        <v>0.77</v>
      </c>
      <c r="K41" s="81">
        <v>0.83899999999999997</v>
      </c>
      <c r="L41" s="81">
        <v>0.98099999999999998</v>
      </c>
      <c r="M41" s="81">
        <f>'Oil(2003-2017) '!I8</f>
        <v>0.90700000000000003</v>
      </c>
      <c r="N41" s="81">
        <f>'Oil(2003-2017) '!J8</f>
        <v>0.85599999999999998</v>
      </c>
      <c r="O41" s="81">
        <f>'Oil(2003-2017) '!K8</f>
        <v>0.86199999999999999</v>
      </c>
      <c r="P41" s="81">
        <f>'Oil(2003-2017) '!L8</f>
        <v>0.85199999999999998</v>
      </c>
      <c r="Q41" s="81">
        <f>'Oil(2003-2017) '!M8</f>
        <v>0.82799999999999996</v>
      </c>
      <c r="R41" s="81">
        <f>'Oil(2003-2017) '!N8</f>
        <v>0.8619</v>
      </c>
      <c r="S41" s="81">
        <f>'Oil(2003-2017) '!O8</f>
        <v>0.86150000000000004</v>
      </c>
      <c r="T41" s="81">
        <f>'Oil(2003-2017) '!P8</f>
        <v>0.85209999999999997</v>
      </c>
      <c r="U41" s="81">
        <f>'Oil(2003-2017) '!Q8</f>
        <v>0.87</v>
      </c>
      <c r="V41" s="144">
        <v>0.85</v>
      </c>
      <c r="W41" s="101"/>
      <c r="Y41" s="724"/>
      <c r="Z41" s="240"/>
      <c r="AH41" s="240"/>
      <c r="AK41" s="240"/>
      <c r="AS41" s="240"/>
    </row>
    <row r="42" spans="3:45" s="68" customFormat="1" ht="15" customHeight="1" x14ac:dyDescent="0.3">
      <c r="C42" s="107" t="s">
        <v>359</v>
      </c>
      <c r="D42" s="72"/>
      <c r="E42" s="72"/>
      <c r="F42" s="72"/>
      <c r="G42" s="72"/>
      <c r="H42" s="82">
        <v>0.42</v>
      </c>
      <c r="I42" s="82">
        <v>0.51</v>
      </c>
      <c r="J42" s="82">
        <v>0.56999999999999995</v>
      </c>
      <c r="K42" s="82">
        <v>0.63400000000000001</v>
      </c>
      <c r="L42" s="82">
        <v>0.73099999999999998</v>
      </c>
      <c r="M42" s="82">
        <f>'Oil(2003-2017) '!I9</f>
        <v>0.80900000000000005</v>
      </c>
      <c r="N42" s="82">
        <f>'Oil(2003-2017) '!J9</f>
        <v>0.88300000000000001</v>
      </c>
      <c r="O42" s="82">
        <f>'Oil(2003-2017) '!K9</f>
        <v>0.871</v>
      </c>
      <c r="P42" s="82">
        <f>'Oil(2003-2017) '!L9</f>
        <v>0.79200000000000004</v>
      </c>
      <c r="Q42" s="82">
        <f>'Oil(2003-2017) '!M9</f>
        <v>0.747</v>
      </c>
      <c r="R42" s="82">
        <f>'Oil(2003-2017) '!N9</f>
        <v>0.70140000000000002</v>
      </c>
      <c r="S42" s="82">
        <f>'Oil(2003-2017) '!O9</f>
        <v>0.82040000000000002</v>
      </c>
      <c r="T42" s="82">
        <f>'Oil(2003-2017) '!P9</f>
        <v>0.82469999999999999</v>
      </c>
      <c r="U42" s="82">
        <f>'Oil(2003-2017) '!Q9</f>
        <v>0.82530000000000003</v>
      </c>
      <c r="V42" s="133">
        <v>0.7</v>
      </c>
      <c r="W42" s="101"/>
      <c r="Y42" s="724"/>
      <c r="Z42" s="240"/>
      <c r="AH42" s="240"/>
    </row>
    <row r="43" spans="3:45" s="68" customFormat="1" ht="15" customHeight="1" x14ac:dyDescent="0.3">
      <c r="C43" s="108" t="s">
        <v>317</v>
      </c>
      <c r="D43" s="75"/>
      <c r="E43" s="75"/>
      <c r="F43" s="75"/>
      <c r="G43" s="76">
        <v>17084490</v>
      </c>
      <c r="H43" s="76">
        <v>44119202</v>
      </c>
      <c r="I43" s="76">
        <v>47740794</v>
      </c>
      <c r="J43" s="76">
        <v>47554996</v>
      </c>
      <c r="K43" s="76">
        <v>49012147</v>
      </c>
      <c r="L43" s="76">
        <v>49269955</v>
      </c>
      <c r="M43" s="76">
        <f>'Oil(2003-2017) '!I155</f>
        <v>44900000</v>
      </c>
      <c r="N43" s="76">
        <f>'Oil(2003-2017) '!J155</f>
        <v>47077607</v>
      </c>
      <c r="O43" s="76">
        <f>'Oil(2003-2017) '!K155</f>
        <v>47880000</v>
      </c>
      <c r="P43" s="76">
        <f>'Oil(2003-2017) '!L155</f>
        <v>49400000</v>
      </c>
      <c r="Q43" s="76">
        <f>'Oil(2003-2017) '!M155</f>
        <v>50000000</v>
      </c>
      <c r="R43" s="76">
        <f>'Oil(2003-2017) '!N155</f>
        <v>48050000</v>
      </c>
      <c r="S43" s="76">
        <f>'Oil(2003-2017) '!O155</f>
        <v>47300000</v>
      </c>
      <c r="T43" s="76">
        <f>'Oil(2003-2017) '!P155</f>
        <v>46350000</v>
      </c>
      <c r="U43" s="76">
        <f>'Oil(2003-2017) '!Q155</f>
        <v>47760000</v>
      </c>
      <c r="V43" s="143">
        <f t="shared" ref="V43:V48" si="3">SUM(G43:U43)</f>
        <v>683499191</v>
      </c>
      <c r="W43" s="101" t="s">
        <v>832</v>
      </c>
      <c r="Y43" s="724"/>
      <c r="Z43" s="240"/>
    </row>
    <row r="44" spans="3:45" s="68" customFormat="1" ht="15" customHeight="1" x14ac:dyDescent="0.3">
      <c r="C44" s="107" t="s">
        <v>329</v>
      </c>
      <c r="D44" s="72"/>
      <c r="E44" s="72"/>
      <c r="F44" s="113"/>
      <c r="G44" s="114">
        <f>'Oil(2003-2017) '!C154</f>
        <v>0</v>
      </c>
      <c r="H44" s="114">
        <f>'Oil(2003-2017) '!D154</f>
        <v>0</v>
      </c>
      <c r="I44" s="114">
        <f>'Oil(2003-2017) '!E154</f>
        <v>0</v>
      </c>
      <c r="J44" s="114">
        <f>'Oil(2003-2017) '!F154</f>
        <v>97600000</v>
      </c>
      <c r="K44" s="114">
        <f>'Oil(2003-2017) '!G154</f>
        <v>99690000</v>
      </c>
      <c r="L44" s="114">
        <f>'Oil(2003-2017) '!H154</f>
        <v>96590000</v>
      </c>
      <c r="M44" s="114">
        <f>'Oil(2003-2017) '!I154</f>
        <v>83550000</v>
      </c>
      <c r="N44" s="114">
        <f>'Oil(2003-2017) '!J154</f>
        <v>85050000</v>
      </c>
      <c r="O44" s="114">
        <f>'Oil(2003-2017) '!K154</f>
        <v>93500000</v>
      </c>
      <c r="P44" s="114">
        <f>'Oil(2003-2017) '!L154</f>
        <v>88710000</v>
      </c>
      <c r="Q44" s="114">
        <f>'Oil(2003-2017) '!M154</f>
        <v>95800000</v>
      </c>
      <c r="R44" s="114">
        <f>'Oil(2003-2017) '!N154</f>
        <v>93040000</v>
      </c>
      <c r="S44" s="114">
        <f>'Oil(2003-2017) '!O154</f>
        <v>97710000</v>
      </c>
      <c r="T44" s="114">
        <f>'Oil(2003-2017) '!P154</f>
        <v>92640000</v>
      </c>
      <c r="U44" s="114">
        <f>'Oil(2003-2017) '!Q154</f>
        <v>99700000</v>
      </c>
      <c r="V44" s="131">
        <f t="shared" si="3"/>
        <v>1123580000</v>
      </c>
      <c r="W44" s="101" t="s">
        <v>832</v>
      </c>
      <c r="Y44" s="724"/>
      <c r="Z44" s="240"/>
    </row>
    <row r="45" spans="3:45" s="68" customFormat="1" ht="15" customHeight="1" x14ac:dyDescent="0.3">
      <c r="C45" s="108" t="s">
        <v>318</v>
      </c>
      <c r="D45" s="75"/>
      <c r="E45" s="75"/>
      <c r="F45" s="75"/>
      <c r="G45" s="114">
        <f>'Oil(2003-2017) '!C158</f>
        <v>1750521</v>
      </c>
      <c r="H45" s="114">
        <f>'Oil(2003-2017) '!D158</f>
        <v>4721232</v>
      </c>
      <c r="I45" s="114">
        <f>'Oil(2003-2017) '!E158</f>
        <v>4925339</v>
      </c>
      <c r="J45" s="114">
        <f>'Oil(2003-2017) '!F158</f>
        <v>4729007</v>
      </c>
      <c r="K45" s="114">
        <f>'Oil(2003-2017) '!G158</f>
        <v>5234673</v>
      </c>
      <c r="L45" s="114">
        <f>'Oil(2003-2017) '!H158</f>
        <v>5636090</v>
      </c>
      <c r="M45" s="114">
        <f>'Oil(2003-2017) '!I158</f>
        <v>5131806</v>
      </c>
      <c r="N45" s="114">
        <f>'Oil(2003-2017) '!J158</f>
        <v>5244280</v>
      </c>
      <c r="O45" s="114">
        <f>'Oil(2003-2017) '!K158</f>
        <v>5356080</v>
      </c>
      <c r="P45" s="114">
        <f>'Oil(2003-2017) '!L158</f>
        <v>5159000</v>
      </c>
      <c r="Q45" s="114">
        <f>'Oil(2003-2017) '!M158</f>
        <v>5260000</v>
      </c>
      <c r="R45" s="114">
        <f>'Oil(2003-2017) '!N158</f>
        <v>5570000</v>
      </c>
      <c r="S45" s="114">
        <f>'Oil(2003-2017) '!O158</f>
        <v>5910000</v>
      </c>
      <c r="T45" s="114">
        <f>'Oil(2003-2017) '!P158</f>
        <v>5580000</v>
      </c>
      <c r="U45" s="114">
        <f>'Oil(2003-2017) '!Q158</f>
        <v>5900207</v>
      </c>
      <c r="V45" s="132">
        <f t="shared" si="3"/>
        <v>76108235</v>
      </c>
      <c r="W45" s="101" t="s">
        <v>837</v>
      </c>
      <c r="Y45" s="724"/>
      <c r="Z45" s="240"/>
    </row>
    <row r="46" spans="3:45" s="68" customFormat="1" ht="15" customHeight="1" x14ac:dyDescent="0.3">
      <c r="C46" s="107" t="s">
        <v>330</v>
      </c>
      <c r="D46" s="72"/>
      <c r="E46" s="72"/>
      <c r="F46" s="113"/>
      <c r="G46" s="114">
        <f>'Oil(2003-2017) '!C157</f>
        <v>0</v>
      </c>
      <c r="H46" s="114">
        <f>'Oil(2003-2017) '!D157</f>
        <v>0</v>
      </c>
      <c r="I46" s="114">
        <f>'Oil(2003-2017) '!E157</f>
        <v>0</v>
      </c>
      <c r="J46" s="114">
        <f>'Oil(2003-2017) '!F157</f>
        <v>6200000</v>
      </c>
      <c r="K46" s="114">
        <f>'Oil(2003-2017) '!G157</f>
        <v>6241000</v>
      </c>
      <c r="L46" s="114">
        <f>'Oil(2003-2017) '!H157</f>
        <v>5767000</v>
      </c>
      <c r="M46" s="114">
        <f>'Oil(2003-2017) '!I157</f>
        <v>5658000</v>
      </c>
      <c r="N46" s="114">
        <f>'Oil(2003-2017) '!J157</f>
        <v>6098000</v>
      </c>
      <c r="O46" s="114">
        <f>'Oil(2003-2017) '!K157</f>
        <v>6228000</v>
      </c>
      <c r="P46" s="114">
        <f>'Oil(2003-2017) '!L157</f>
        <v>6056000</v>
      </c>
      <c r="Q46" s="114">
        <f>'Oil(2003-2017) '!M157</f>
        <v>6350000</v>
      </c>
      <c r="R46" s="114">
        <f>'Oil(2003-2017) '!N157</f>
        <v>6460000</v>
      </c>
      <c r="S46" s="114">
        <f>'Oil(2003-2017) '!O157</f>
        <v>6850000</v>
      </c>
      <c r="T46" s="114">
        <f>'Oil(2003-2017) '!P157</f>
        <v>6550000</v>
      </c>
      <c r="U46" s="114">
        <f>'Oil(2003-2017) '!Q157</f>
        <v>6781761</v>
      </c>
      <c r="V46" s="131">
        <f t="shared" si="3"/>
        <v>75239761</v>
      </c>
      <c r="W46" s="101" t="s">
        <v>837</v>
      </c>
      <c r="Y46" s="724"/>
      <c r="Z46" s="240"/>
    </row>
    <row r="47" spans="3:45" s="68" customFormat="1" ht="15" customHeight="1" x14ac:dyDescent="0.3">
      <c r="C47" s="108" t="s">
        <v>319</v>
      </c>
      <c r="D47" s="75"/>
      <c r="E47" s="75"/>
      <c r="F47" s="75"/>
      <c r="G47" s="76">
        <v>264871</v>
      </c>
      <c r="H47" s="76">
        <v>1055969</v>
      </c>
      <c r="I47" s="76">
        <v>1241032</v>
      </c>
      <c r="J47" s="76">
        <v>1254001</v>
      </c>
      <c r="K47" s="76">
        <v>1386406</v>
      </c>
      <c r="L47" s="76">
        <v>1464770</v>
      </c>
      <c r="M47" s="76">
        <f>'Oil(2003-2017) '!I160</f>
        <v>1434357</v>
      </c>
      <c r="N47" s="76">
        <f>'Oil(2003-2017) '!J160</f>
        <v>1532112</v>
      </c>
      <c r="O47" s="76">
        <f>'Oil(2003-2017) '!K160</f>
        <v>1675167</v>
      </c>
      <c r="P47" s="76">
        <f>'Oil(2003-2017) '!L160</f>
        <v>1637000</v>
      </c>
      <c r="Q47" s="76">
        <f>'Oil(2003-2017) '!M160</f>
        <v>1626000</v>
      </c>
      <c r="R47" s="76">
        <f>'Oil(2003-2017) '!N160</f>
        <v>1520000</v>
      </c>
      <c r="S47" s="76">
        <f>'Oil(2003-2017) '!O160</f>
        <v>1730000</v>
      </c>
      <c r="T47" s="76">
        <f>'Oil(2003-2017) '!P160</f>
        <v>1737000</v>
      </c>
      <c r="U47" s="76">
        <f>'Oil(2003-2017) '!Q160</f>
        <v>1756524</v>
      </c>
      <c r="V47" s="143">
        <f t="shared" si="3"/>
        <v>21315209</v>
      </c>
      <c r="W47" s="101" t="s">
        <v>834</v>
      </c>
      <c r="Y47" s="724"/>
      <c r="Z47" s="240"/>
    </row>
    <row r="48" spans="3:45" s="68" customFormat="1" ht="15" customHeight="1" x14ac:dyDescent="0.3">
      <c r="C48" s="107" t="s">
        <v>331</v>
      </c>
      <c r="D48" s="72"/>
      <c r="E48" s="72"/>
      <c r="F48" s="113"/>
      <c r="G48" s="114">
        <f>'Oil(2003-2017) '!C159</f>
        <v>0</v>
      </c>
      <c r="H48" s="114">
        <f>'Oil(2003-2017) '!D159</f>
        <v>0</v>
      </c>
      <c r="I48" s="114">
        <f>'Oil(2003-2017) '!E159</f>
        <v>0</v>
      </c>
      <c r="J48" s="114">
        <f>'Oil(2003-2017) '!F159</f>
        <v>2240000</v>
      </c>
      <c r="K48" s="114">
        <f>'Oil(2003-2017) '!G159</f>
        <v>2187000</v>
      </c>
      <c r="L48" s="114">
        <f>'Oil(2003-2017) '!H159</f>
        <v>2006000</v>
      </c>
      <c r="M48" s="114">
        <f>'Oil(2003-2017) '!I159</f>
        <v>1773000</v>
      </c>
      <c r="N48" s="114">
        <f>'Oil(2003-2017) '!J159</f>
        <v>1736000</v>
      </c>
      <c r="O48" s="114">
        <f>'Oil(2003-2017) '!K159</f>
        <v>1924000</v>
      </c>
      <c r="P48" s="114">
        <f>'Oil(2003-2017) '!L159</f>
        <v>2066000</v>
      </c>
      <c r="Q48" s="114">
        <f>'Oil(2003-2017) '!M159</f>
        <v>2177000</v>
      </c>
      <c r="R48" s="114">
        <f>'Oil(2003-2017) '!N159</f>
        <v>2160000</v>
      </c>
      <c r="S48" s="114">
        <f>'Oil(2003-2017) '!I159</f>
        <v>1773000</v>
      </c>
      <c r="T48" s="114">
        <f>'Oil(2003-2017) '!J159</f>
        <v>1736000</v>
      </c>
      <c r="U48" s="114">
        <f>'Oil(2003-2017) '!K159</f>
        <v>1924000</v>
      </c>
      <c r="V48" s="131">
        <f t="shared" si="3"/>
        <v>23702000</v>
      </c>
      <c r="W48" s="101" t="s">
        <v>834</v>
      </c>
      <c r="Y48" s="724"/>
      <c r="Z48" s="240"/>
    </row>
    <row r="49" spans="3:26" s="68" customFormat="1" ht="15" customHeight="1" x14ac:dyDescent="0.3">
      <c r="C49" s="109"/>
      <c r="J49" s="92"/>
      <c r="S49" s="92"/>
      <c r="W49" s="101"/>
      <c r="Y49" s="101"/>
      <c r="Z49" s="240"/>
    </row>
    <row r="50" spans="3:26" s="68" customFormat="1" ht="18" customHeight="1" x14ac:dyDescent="0.3">
      <c r="C50" s="109"/>
      <c r="J50" s="69"/>
      <c r="K50" s="721" t="s">
        <v>281</v>
      </c>
      <c r="L50" s="721"/>
      <c r="M50" s="721"/>
      <c r="N50" s="721"/>
      <c r="O50" s="721"/>
      <c r="P50" s="721"/>
      <c r="Q50" s="721"/>
      <c r="R50" s="721"/>
      <c r="S50" s="721"/>
      <c r="T50" s="721"/>
      <c r="U50" s="721"/>
      <c r="V50" s="721"/>
      <c r="W50" s="65"/>
      <c r="Y50" s="725" t="s">
        <v>304</v>
      </c>
      <c r="Z50" s="240"/>
    </row>
    <row r="51" spans="3:26" s="68" customFormat="1" ht="15" customHeight="1" x14ac:dyDescent="0.3">
      <c r="C51" s="109"/>
      <c r="J51" s="69"/>
      <c r="K51" s="70">
        <v>2007</v>
      </c>
      <c r="L51" s="71">
        <v>2008</v>
      </c>
      <c r="M51" s="71">
        <v>2009</v>
      </c>
      <c r="N51" s="71">
        <v>2010</v>
      </c>
      <c r="O51" s="71">
        <v>2011</v>
      </c>
      <c r="P51" s="71">
        <v>2012</v>
      </c>
      <c r="Q51" s="71">
        <v>2013</v>
      </c>
      <c r="R51" s="71">
        <v>2014</v>
      </c>
      <c r="S51" s="71">
        <v>2015</v>
      </c>
      <c r="T51" s="71">
        <v>2016</v>
      </c>
      <c r="U51" s="71">
        <v>2017</v>
      </c>
      <c r="V51" s="71" t="s">
        <v>285</v>
      </c>
      <c r="W51" s="101"/>
      <c r="Y51" s="726"/>
      <c r="Z51" s="240"/>
    </row>
    <row r="52" spans="3:26" s="68" customFormat="1" ht="15" customHeight="1" x14ac:dyDescent="0.3">
      <c r="C52" s="107" t="s">
        <v>292</v>
      </c>
      <c r="D52" s="72"/>
      <c r="E52" s="72"/>
      <c r="F52" s="72"/>
      <c r="G52" s="72"/>
      <c r="H52" s="72"/>
      <c r="I52" s="72"/>
      <c r="J52" s="72"/>
      <c r="K52" s="73">
        <v>1</v>
      </c>
      <c r="L52" s="74">
        <v>1</v>
      </c>
      <c r="M52" s="74">
        <f>'Tires(2007-2017)'!E7</f>
        <v>0.89</v>
      </c>
      <c r="N52" s="74">
        <f>'Tires(2007-2017)'!F7</f>
        <v>0.82</v>
      </c>
      <c r="O52" s="74">
        <f>'Tires(2007-2017)'!G7</f>
        <v>0.81</v>
      </c>
      <c r="P52" s="74">
        <f>'Tires(2007-2017)'!H7</f>
        <v>0.8</v>
      </c>
      <c r="Q52" s="74">
        <f>'Tires(2007-2017)'!I7</f>
        <v>0.78</v>
      </c>
      <c r="R52" s="74">
        <f>'Tires(2007-2017)'!J7</f>
        <v>0.76</v>
      </c>
      <c r="S52" s="74">
        <f>'Tires(2007-2017)'!K7</f>
        <v>0.79</v>
      </c>
      <c r="T52" s="74">
        <f>'Tires(2007-2017)'!L7</f>
        <v>0.76</v>
      </c>
      <c r="U52" s="74">
        <f>'Tires(2007-2017)'!M7</f>
        <v>0.73</v>
      </c>
      <c r="V52" s="133">
        <f>SUM(K52:U52)/11</f>
        <v>0.83090909090909093</v>
      </c>
      <c r="W52" s="104"/>
      <c r="Y52" s="726"/>
    </row>
    <row r="53" spans="3:26" s="68" customFormat="1" ht="15" customHeight="1" x14ac:dyDescent="0.3">
      <c r="C53" s="108" t="s">
        <v>288</v>
      </c>
      <c r="D53" s="75"/>
      <c r="E53" s="75"/>
      <c r="F53" s="75"/>
      <c r="G53" s="75"/>
      <c r="H53" s="75"/>
      <c r="I53" s="75"/>
      <c r="J53" s="75"/>
      <c r="K53" s="76">
        <f>'Tires(2007-2017)'!C41+'Tires(2007-2017)'!C43+'Tires(2007-2017)'!C45+'Tires(2007-2017)'!C47</f>
        <v>2822000</v>
      </c>
      <c r="L53" s="76">
        <f>'Tires(2007-2017)'!D41+'Tires(2007-2017)'!D43+'Tires(2007-2017)'!D45+'Tires(2007-2017)'!D47</f>
        <v>3005000</v>
      </c>
      <c r="M53" s="76">
        <f>'Tires(2007-2017)'!E41+'Tires(2007-2017)'!E43+'Tires(2007-2017)'!E45+'Tires(2007-2017)'!E47</f>
        <v>2818000</v>
      </c>
      <c r="N53" s="76">
        <f>'Tires(2007-2017)'!F41+'Tires(2007-2017)'!F43+'Tires(2007-2017)'!F45+'Tires(2007-2017)'!F47</f>
        <v>2761000</v>
      </c>
      <c r="O53" s="76">
        <f>'Tires(2007-2017)'!G41+'Tires(2007-2017)'!G43+'Tires(2007-2017)'!G45+'Tires(2007-2017)'!G47</f>
        <v>2676000</v>
      </c>
      <c r="P53" s="76">
        <f>'Tires(2007-2017)'!H41+'Tires(2007-2017)'!H43+'Tires(2007-2017)'!H45+'Tires(2007-2017)'!H47</f>
        <v>2608088</v>
      </c>
      <c r="Q53" s="76">
        <f>'Tires(2007-2017)'!I41+'Tires(2007-2017)'!I43+'Tires(2007-2017)'!I45+'Tires(2007-2017)'!I47</f>
        <v>2693617</v>
      </c>
      <c r="R53" s="76">
        <f>'Tires(2007-2017)'!J41+'Tires(2007-2017)'!J43+'Tires(2007-2017)'!J45+'Tires(2007-2017)'!J47</f>
        <v>2699744</v>
      </c>
      <c r="S53" s="76">
        <f>'Tires(2007-2017)'!K41+'Tires(2007-2017)'!K43+'Tires(2007-2017)'!K45+'Tires(2007-2017)'!K47</f>
        <v>2955568</v>
      </c>
      <c r="T53" s="76">
        <f>'Tires(2007-2017)'!L41+'Tires(2007-2017)'!L43+'Tires(2007-2017)'!L45+'Tires(2007-2017)'!L47</f>
        <v>3055257</v>
      </c>
      <c r="U53" s="76">
        <f>'Tires(2007-2017)'!M41+'Tires(2007-2017)'!M43+'Tires(2007-2017)'!M45+'Tires(2007-2017)'!M47</f>
        <v>3297417</v>
      </c>
      <c r="V53" s="132">
        <f>SUM(K53:R53)</f>
        <v>22083449</v>
      </c>
      <c r="W53" s="106" t="s">
        <v>830</v>
      </c>
      <c r="Y53" s="726"/>
    </row>
    <row r="54" spans="3:26" s="68" customFormat="1" ht="15" customHeight="1" x14ac:dyDescent="0.3">
      <c r="C54" s="107" t="s">
        <v>333</v>
      </c>
      <c r="D54" s="72"/>
      <c r="E54" s="72"/>
      <c r="F54" s="72"/>
      <c r="G54" s="72"/>
      <c r="H54" s="72"/>
      <c r="I54" s="72"/>
      <c r="J54" s="72"/>
      <c r="K54" s="67">
        <f>'Tires(2007-2017)'!C40+'Tires(2007-2017)'!C42+'Tires(2007-2017)'!C44+'Tires(2007-2017)'!C46</f>
        <v>3344000</v>
      </c>
      <c r="L54" s="67">
        <f>SUM('Tires(2007-2017)'!D40,'Tires(2007-2017)'!D42,'Tires(2007-2017)'!D44,'Tires(2007-2017)'!D46)</f>
        <v>3251000</v>
      </c>
      <c r="M54" s="67">
        <f>SUM('Tires(2007-2017)'!E40,'Tires(2007-2017)'!E42,'Tires(2007-2017)'!E44,'Tires(2007-2017)'!E46)</f>
        <v>3162000</v>
      </c>
      <c r="N54" s="67">
        <f>SUM('Tires(2007-2017)'!F40,'Tires(2007-2017)'!F42,'Tires(2007-2017)'!F44,'Tires(2007-2017)'!F46)</f>
        <v>3355000</v>
      </c>
      <c r="O54" s="67">
        <f>SUM('Tires(2007-2017)'!G40,'Tires(2007-2017)'!G42,'Tires(2007-2017)'!G44,'Tires(2007-2017)'!G46)</f>
        <v>3293000</v>
      </c>
      <c r="P54" s="67">
        <f>SUM('Tires(2007-2017)'!H40,'Tires(2007-2017)'!H42,'Tires(2007-2017)'!H44,'Tires(2007-2017)'!H46)</f>
        <v>3275351</v>
      </c>
      <c r="Q54" s="67">
        <f>SUM('Tires(2007-2017)'!I40,'Tires(2007-2017)'!I42,'Tires(2007-2017)'!I44,'Tires(2007-2017)'!I46)</f>
        <v>3444376</v>
      </c>
      <c r="R54" s="67">
        <f>SUM('Tires(2007-2017)'!J40,'Tires(2007-2017)'!J42,'Tires(2007-2017)'!J44,'Tires(2007-2017)'!J46)</f>
        <v>3549619</v>
      </c>
      <c r="S54" s="67">
        <f>SUM('Tires(2007-2017)'!K40,'Tires(2007-2017)'!K42,'Tires(2007-2017)'!K44,'Tires(2007-2017)'!K46)</f>
        <v>3739542</v>
      </c>
      <c r="T54" s="67">
        <f>SUM('Tires(2007-2017)'!L40,'Tires(2007-2017)'!L42,'Tires(2007-2017)'!L44,'Tires(2007-2017)'!L46)</f>
        <v>4013765</v>
      </c>
      <c r="U54" s="67">
        <f>SUM('Tires(2007-2017)'!M40,'Tires(2007-2017)'!M42,'Tires(2007-2017)'!M44,'Tires(2007-2017)'!M46)</f>
        <v>4494069</v>
      </c>
      <c r="V54" s="131">
        <f>SUM(K54:R54)</f>
        <v>26674346</v>
      </c>
      <c r="W54" s="106" t="s">
        <v>831</v>
      </c>
      <c r="Y54" s="726"/>
    </row>
    <row r="55" spans="3:26" s="68" customFormat="1" ht="15" customHeight="1" x14ac:dyDescent="0.3">
      <c r="C55" s="108" t="s">
        <v>293</v>
      </c>
      <c r="D55" s="75"/>
      <c r="E55" s="75"/>
      <c r="F55" s="75"/>
      <c r="G55" s="75"/>
      <c r="H55" s="75"/>
      <c r="I55" s="75"/>
      <c r="J55" s="75"/>
      <c r="K55" s="77">
        <v>0.8</v>
      </c>
      <c r="L55" s="77">
        <v>0.7</v>
      </c>
      <c r="M55" s="77">
        <f>'Tires(2007-2017)'!E27</f>
        <v>0.63</v>
      </c>
      <c r="N55" s="77">
        <f>'Tires(2007-2017)'!F27</f>
        <v>0.71</v>
      </c>
      <c r="O55" s="77">
        <f>'Tires(2007-2017)'!G27</f>
        <v>0.88</v>
      </c>
      <c r="P55" s="77">
        <f>'Tires(2007-2017)'!H27</f>
        <v>0.77</v>
      </c>
      <c r="Q55" s="77">
        <f>'Tires(2007-2017)'!I27</f>
        <v>0.73</v>
      </c>
      <c r="R55" s="77">
        <f>'Tires(2007-2017)'!J27</f>
        <v>0.77</v>
      </c>
      <c r="S55" s="77">
        <f>'Tires(2007-2017)'!K27</f>
        <v>0.72</v>
      </c>
      <c r="T55" s="77">
        <f>'Tires(2007-2017)'!L27</f>
        <v>0.69499999999999995</v>
      </c>
      <c r="U55" s="77">
        <f>'Tires(2007-2017)'!M27</f>
        <v>0.73499999999999999</v>
      </c>
      <c r="V55" s="147">
        <f>SUM(K55:U55)/11</f>
        <v>0.7400000000000001</v>
      </c>
      <c r="W55" s="104"/>
      <c r="Y55" s="726"/>
    </row>
    <row r="56" spans="3:26" s="68" customFormat="1" ht="15" customHeight="1" x14ac:dyDescent="0.3">
      <c r="C56" s="107" t="s">
        <v>294</v>
      </c>
      <c r="D56" s="72"/>
      <c r="E56" s="72"/>
      <c r="F56" s="72"/>
      <c r="G56" s="72"/>
      <c r="H56" s="72"/>
      <c r="I56" s="72"/>
      <c r="J56" s="72"/>
      <c r="K56" s="73">
        <f>'Tires(2007-2017)'!C26</f>
        <v>0</v>
      </c>
      <c r="L56" s="73">
        <f>'Tires(2007-2017)'!D26</f>
        <v>0</v>
      </c>
      <c r="M56" s="73">
        <f>'Tires(2007-2017)'!E26</f>
        <v>0</v>
      </c>
      <c r="N56" s="73">
        <f>'Tires(2007-2017)'!F26</f>
        <v>0</v>
      </c>
      <c r="O56" s="73">
        <f>'Tires(2007-2017)'!G26</f>
        <v>0</v>
      </c>
      <c r="P56" s="73">
        <f>'Tires(2007-2017)'!H26</f>
        <v>0</v>
      </c>
      <c r="Q56" s="73">
        <f>'Tires(2007-2017)'!I26</f>
        <v>0</v>
      </c>
      <c r="R56" s="73">
        <f>'Tires(2007-2017)'!J26</f>
        <v>0</v>
      </c>
      <c r="S56" s="73">
        <f>'Tires(2007-2017)'!K26</f>
        <v>0</v>
      </c>
      <c r="T56" s="73">
        <f>'Tires(2007-2017)'!L26</f>
        <v>0</v>
      </c>
      <c r="U56" s="73">
        <f>'Tires(2007-2017)'!M26</f>
        <v>0</v>
      </c>
      <c r="V56" s="145">
        <f>((K56*K53)+(L56*L53)+(M56*M53)+(N56*N53)+(O56*O53)+(P56*P53)+(Q56*Q53))/SUM(K53:Q53)</f>
        <v>0</v>
      </c>
      <c r="W56" s="104"/>
      <c r="Y56" s="726"/>
    </row>
    <row r="57" spans="3:26" s="68" customFormat="1" ht="15" customHeight="1" x14ac:dyDescent="0.3">
      <c r="C57" s="108" t="s">
        <v>286</v>
      </c>
      <c r="D57" s="75"/>
      <c r="E57" s="75"/>
      <c r="F57" s="75"/>
      <c r="G57" s="75"/>
      <c r="H57" s="75"/>
      <c r="I57" s="75"/>
      <c r="J57" s="75"/>
      <c r="K57" s="76">
        <v>40000</v>
      </c>
      <c r="L57" s="76">
        <v>40000</v>
      </c>
      <c r="M57" s="76">
        <f>'Tires(2007-2017)'!E52</f>
        <v>37000</v>
      </c>
      <c r="N57" s="76">
        <f>'Tires(2007-2017)'!F52</f>
        <v>38000</v>
      </c>
      <c r="O57" s="76">
        <f>'Tires(2007-2017)'!G52</f>
        <v>37000</v>
      </c>
      <c r="P57" s="76">
        <v>37265</v>
      </c>
      <c r="Q57" s="76">
        <v>39338</v>
      </c>
      <c r="R57" s="76">
        <v>40842</v>
      </c>
      <c r="S57" s="76">
        <v>44940</v>
      </c>
      <c r="T57" s="467">
        <v>43668</v>
      </c>
      <c r="U57" s="467">
        <v>49649</v>
      </c>
      <c r="V57" s="132">
        <f>SUM(K57:U57)</f>
        <v>447702</v>
      </c>
      <c r="W57" s="102" t="s">
        <v>829</v>
      </c>
      <c r="Y57" s="727"/>
      <c r="Z57" s="240"/>
    </row>
    <row r="58" spans="3:26" s="68" customFormat="1" ht="15" customHeight="1" x14ac:dyDescent="0.3">
      <c r="C58" s="109"/>
      <c r="S58" s="92"/>
      <c r="V58" s="638"/>
      <c r="W58" s="101"/>
      <c r="Y58" s="101"/>
      <c r="Z58" s="240"/>
    </row>
    <row r="59" spans="3:26" s="68" customFormat="1" ht="18" customHeight="1" x14ac:dyDescent="0.3">
      <c r="C59" s="109"/>
      <c r="J59" s="69"/>
      <c r="K59" s="721" t="s">
        <v>280</v>
      </c>
      <c r="L59" s="721"/>
      <c r="M59" s="721"/>
      <c r="N59" s="721"/>
      <c r="O59" s="721"/>
      <c r="P59" s="721"/>
      <c r="Q59" s="721"/>
      <c r="R59" s="721"/>
      <c r="S59" s="721"/>
      <c r="T59" s="721"/>
      <c r="U59" s="721"/>
      <c r="V59" s="721"/>
      <c r="W59" s="65"/>
      <c r="Y59" s="728" t="s">
        <v>303</v>
      </c>
      <c r="Z59" s="240"/>
    </row>
    <row r="60" spans="3:26" s="68" customFormat="1" ht="15" customHeight="1" x14ac:dyDescent="0.3">
      <c r="C60" s="109"/>
      <c r="J60" s="92"/>
      <c r="K60" s="71">
        <v>2007</v>
      </c>
      <c r="L60" s="71">
        <v>2008</v>
      </c>
      <c r="M60" s="71">
        <v>2009</v>
      </c>
      <c r="N60" s="71">
        <v>2010</v>
      </c>
      <c r="O60" s="71">
        <v>2011</v>
      </c>
      <c r="P60" s="71">
        <v>2012</v>
      </c>
      <c r="Q60" s="71">
        <v>2013</v>
      </c>
      <c r="R60" s="71">
        <v>2014</v>
      </c>
      <c r="S60" s="468">
        <v>2015</v>
      </c>
      <c r="T60" s="71">
        <v>2016</v>
      </c>
      <c r="U60" s="71">
        <v>2017</v>
      </c>
      <c r="V60" s="71" t="s">
        <v>285</v>
      </c>
      <c r="W60" s="101"/>
      <c r="Y60" s="729"/>
      <c r="Z60" s="240"/>
    </row>
    <row r="61" spans="3:26" s="68" customFormat="1" ht="15" customHeight="1" x14ac:dyDescent="0.3">
      <c r="C61" s="107" t="s">
        <v>332</v>
      </c>
      <c r="D61" s="72"/>
      <c r="E61" s="72"/>
      <c r="F61" s="72"/>
      <c r="G61" s="72"/>
      <c r="H61" s="72"/>
      <c r="I61" s="72"/>
      <c r="J61" s="72"/>
      <c r="K61" s="79">
        <f>'Elect(2007-2017)'!D724</f>
        <v>2684</v>
      </c>
      <c r="L61" s="79">
        <f>'Elect(2007-2017)'!E724</f>
        <v>11045</v>
      </c>
      <c r="M61" s="79">
        <f>'Elect(2007-2017)'!F724</f>
        <v>0</v>
      </c>
      <c r="N61" s="79">
        <f>'Elect(2007-2017)'!G724</f>
        <v>144</v>
      </c>
      <c r="O61" s="79">
        <f>'Elect(2007-2017)'!H724</f>
        <v>22418</v>
      </c>
      <c r="P61" s="79">
        <f>'Elect(2007-2017)'!I724</f>
        <v>25581</v>
      </c>
      <c r="Q61" s="79">
        <f>'Elect(2007-2017)'!J724</f>
        <v>42326</v>
      </c>
      <c r="R61" s="79">
        <f>'Elect(2007-2017)'!K724</f>
        <v>43951</v>
      </c>
      <c r="S61" s="79">
        <f>'Elect(2007-2017)'!L724</f>
        <v>66847</v>
      </c>
      <c r="T61" s="79">
        <f>'Elect(2007-2017)'!M724</f>
        <v>65378</v>
      </c>
      <c r="U61" s="79">
        <f>'Elect(2007-2017)'!N724</f>
        <v>64271</v>
      </c>
      <c r="V61" s="131">
        <f>SUM(K61:U61)</f>
        <v>344645</v>
      </c>
      <c r="W61" s="106" t="s">
        <v>829</v>
      </c>
      <c r="Y61" s="729"/>
      <c r="Z61" s="240"/>
    </row>
    <row r="62" spans="3:26" s="68" customFormat="1" ht="15" customHeight="1" x14ac:dyDescent="0.3">
      <c r="S62" s="92"/>
      <c r="W62" s="101"/>
      <c r="Y62" s="730"/>
      <c r="Z62" s="240"/>
    </row>
    <row r="63" spans="3:26" s="68" customFormat="1" ht="18" customHeight="1" x14ac:dyDescent="0.3">
      <c r="C63" s="109"/>
      <c r="J63" s="69"/>
      <c r="K63" s="721" t="s">
        <v>488</v>
      </c>
      <c r="L63" s="722"/>
      <c r="M63" s="722"/>
      <c r="N63" s="722"/>
      <c r="O63" s="722"/>
      <c r="P63" s="722"/>
      <c r="Q63" s="722"/>
      <c r="R63" s="722"/>
      <c r="S63" s="722"/>
      <c r="T63" s="722"/>
      <c r="U63" s="722"/>
      <c r="V63" s="722"/>
      <c r="W63" s="65"/>
      <c r="Z63" s="240"/>
    </row>
    <row r="64" spans="3:26" s="68" customFormat="1" ht="15" customHeight="1" x14ac:dyDescent="0.3">
      <c r="C64" s="109"/>
      <c r="J64" s="92"/>
      <c r="K64" s="71">
        <v>2007</v>
      </c>
      <c r="L64" s="71">
        <v>2008</v>
      </c>
      <c r="M64" s="71">
        <v>2009</v>
      </c>
      <c r="N64" s="71">
        <v>2010</v>
      </c>
      <c r="O64" s="71">
        <v>2011</v>
      </c>
      <c r="P64" s="71">
        <v>2012</v>
      </c>
      <c r="Q64" s="71">
        <v>2013</v>
      </c>
      <c r="R64" s="71">
        <v>2014</v>
      </c>
      <c r="S64" s="71">
        <v>2015</v>
      </c>
      <c r="T64" s="71">
        <v>2016</v>
      </c>
      <c r="U64" s="71">
        <v>2017</v>
      </c>
      <c r="V64" s="71" t="s">
        <v>285</v>
      </c>
      <c r="W64" s="101"/>
      <c r="Z64" s="240"/>
    </row>
    <row r="65" spans="2:26" s="68" customFormat="1" ht="15" customHeight="1" x14ac:dyDescent="0.3">
      <c r="C65" s="107" t="s">
        <v>489</v>
      </c>
      <c r="D65" s="72"/>
      <c r="E65" s="72"/>
      <c r="F65" s="72"/>
      <c r="G65" s="72"/>
      <c r="H65" s="72"/>
      <c r="I65" s="72"/>
      <c r="J65" s="72"/>
      <c r="K65" s="79"/>
      <c r="L65" s="79"/>
      <c r="M65" s="79"/>
      <c r="N65" s="79"/>
      <c r="O65" s="79"/>
      <c r="P65" s="79">
        <f>('Lead-Acid Batteries (2012-2017)'!D25+'Lead-Acid Batteries (2012-2017)'!D13)/1000</f>
        <v>16416</v>
      </c>
      <c r="Q65" s="79">
        <f>('Lead-Acid Batteries (2012-2017)'!E25+'Lead-Acid Batteries (2012-2017)'!E13)/1000</f>
        <v>3023</v>
      </c>
      <c r="R65" s="79">
        <f>('Lead-Acid Batteries (2012-2017)'!F25+'Lead-Acid Batteries (2012-2017)'!F13)/1000</f>
        <v>17202.001410999997</v>
      </c>
      <c r="S65" s="79">
        <f>('Lead-Acid Batteries (2012-2017)'!G25+'Lead-Acid Batteries (2012-2017)'!G13)/1000</f>
        <v>20700</v>
      </c>
      <c r="T65" s="79">
        <f>('Lead-Acid Batteries (2012-2017)'!H25+'Lead-Acid Batteries (2012-2017)'!H13)/1000</f>
        <v>23500</v>
      </c>
      <c r="U65" s="79">
        <f>('Lead-Acid Batteries (2012-2017)'!I25+'Lead-Acid Batteries (2012-2017)'!I13)/1000</f>
        <v>22746.498</v>
      </c>
      <c r="V65" s="131">
        <f>SUM(P65:U65)</f>
        <v>103587.499411</v>
      </c>
      <c r="W65" s="106" t="s">
        <v>829</v>
      </c>
      <c r="Z65" s="240"/>
    </row>
    <row r="66" spans="2:26" s="68" customFormat="1" ht="28.8" x14ac:dyDescent="0.3">
      <c r="J66" s="69"/>
      <c r="K66" s="721" t="s">
        <v>567</v>
      </c>
      <c r="L66" s="722"/>
      <c r="M66" s="722"/>
      <c r="N66" s="722"/>
      <c r="O66" s="722"/>
      <c r="P66" s="722"/>
      <c r="Q66" s="722"/>
      <c r="R66" s="722"/>
      <c r="S66" s="722"/>
      <c r="T66" s="722"/>
      <c r="U66" s="722"/>
      <c r="V66" s="722"/>
      <c r="W66" s="65"/>
      <c r="Z66" s="240"/>
    </row>
    <row r="67" spans="2:26" s="68" customFormat="1" x14ac:dyDescent="0.3">
      <c r="K67" s="71"/>
      <c r="L67" s="71"/>
      <c r="M67" s="71"/>
      <c r="N67" s="71"/>
      <c r="O67" s="71"/>
      <c r="P67" s="71"/>
      <c r="Q67" s="71"/>
      <c r="R67" s="71" t="s">
        <v>587</v>
      </c>
      <c r="S67" s="468">
        <v>2015</v>
      </c>
      <c r="T67" s="71">
        <v>2016</v>
      </c>
      <c r="U67" s="71">
        <v>2017</v>
      </c>
      <c r="V67" s="71" t="s">
        <v>285</v>
      </c>
      <c r="W67" s="101"/>
      <c r="Z67" s="240"/>
    </row>
    <row r="68" spans="2:26" s="68" customFormat="1" ht="15.6" x14ac:dyDescent="0.3">
      <c r="C68" s="107" t="s">
        <v>586</v>
      </c>
      <c r="D68" s="107"/>
      <c r="E68" s="107"/>
      <c r="F68" s="107"/>
      <c r="G68" s="107"/>
      <c r="H68" s="107"/>
      <c r="I68" s="107"/>
      <c r="J68" s="107"/>
      <c r="K68" s="107"/>
      <c r="L68" s="107"/>
      <c r="M68" s="107"/>
      <c r="N68" s="107"/>
      <c r="O68" s="107"/>
      <c r="P68" s="107"/>
      <c r="Q68" s="107"/>
      <c r="R68" s="663">
        <f>'PPP(2014-2017)'!B98</f>
        <v>116457</v>
      </c>
      <c r="S68" s="663">
        <f>'PPP(2014-2017)'!C98</f>
        <v>186509</v>
      </c>
      <c r="T68" s="663">
        <f>'PPP(2014-2017)'!D98</f>
        <v>185477</v>
      </c>
      <c r="U68" s="663">
        <f>'PPP(2014-2017)'!E98</f>
        <v>219458</v>
      </c>
      <c r="V68" s="131">
        <f>SUM(R68:U68)</f>
        <v>707901</v>
      </c>
      <c r="W68" s="106" t="s">
        <v>829</v>
      </c>
      <c r="Z68" s="240"/>
    </row>
    <row r="69" spans="2:26" s="68" customFormat="1" x14ac:dyDescent="0.3">
      <c r="S69" s="92"/>
      <c r="W69" s="101"/>
      <c r="Z69" s="240"/>
    </row>
    <row r="70" spans="2:26" s="68" customFormat="1" ht="23.4" x14ac:dyDescent="0.45">
      <c r="C70" s="731" t="s">
        <v>491</v>
      </c>
      <c r="D70" s="731"/>
      <c r="E70" s="731"/>
      <c r="F70" s="731"/>
      <c r="G70" s="731"/>
      <c r="H70" s="731"/>
      <c r="I70" s="731"/>
      <c r="J70" s="731"/>
      <c r="K70" s="731"/>
      <c r="L70" s="731"/>
      <c r="M70" s="731"/>
      <c r="N70" s="731"/>
      <c r="O70" s="731"/>
      <c r="P70" s="731"/>
      <c r="Q70" s="731"/>
      <c r="R70" s="731"/>
      <c r="S70" s="731"/>
      <c r="T70" s="731"/>
      <c r="U70" s="731"/>
      <c r="V70" s="731"/>
      <c r="W70" s="101"/>
      <c r="Z70" s="240"/>
    </row>
    <row r="71" spans="2:26" s="68" customFormat="1" ht="15" customHeight="1" x14ac:dyDescent="0.3">
      <c r="C71" s="168" t="s">
        <v>661</v>
      </c>
      <c r="D71" s="168">
        <v>2000</v>
      </c>
      <c r="E71" s="165">
        <v>2001</v>
      </c>
      <c r="F71" s="168">
        <v>2002</v>
      </c>
      <c r="G71" s="165">
        <v>2003</v>
      </c>
      <c r="H71" s="168">
        <v>2004</v>
      </c>
      <c r="I71" s="165">
        <v>2005</v>
      </c>
      <c r="J71" s="168">
        <v>2006</v>
      </c>
      <c r="K71" s="165">
        <v>2007</v>
      </c>
      <c r="L71" s="168">
        <v>2008</v>
      </c>
      <c r="M71" s="165">
        <v>2009</v>
      </c>
      <c r="N71" s="168">
        <v>2010</v>
      </c>
      <c r="O71" s="165">
        <v>2011</v>
      </c>
      <c r="P71" s="168">
        <v>2012</v>
      </c>
      <c r="Q71" s="168">
        <v>2013</v>
      </c>
      <c r="R71" s="168">
        <v>2014</v>
      </c>
      <c r="S71" s="471">
        <v>2015</v>
      </c>
      <c r="T71" s="172">
        <v>2016</v>
      </c>
      <c r="U71" s="172">
        <v>2017</v>
      </c>
      <c r="V71" s="172"/>
      <c r="W71" s="101"/>
      <c r="Z71" s="240"/>
    </row>
    <row r="72" spans="2:26" s="68" customFormat="1" ht="15" customHeight="1" x14ac:dyDescent="0.3">
      <c r="C72" s="668" t="s">
        <v>863</v>
      </c>
      <c r="D72" s="670">
        <f>'Bevs(2000-2017)'!D299</f>
        <v>0</v>
      </c>
      <c r="E72" s="670">
        <f>'Bevs(2000-2017)'!E299</f>
        <v>0</v>
      </c>
      <c r="F72" s="670">
        <f>'Bevs(2000-2017)'!F299</f>
        <v>0</v>
      </c>
      <c r="G72" s="670">
        <f>'Bevs(2000-2017)'!G299</f>
        <v>0</v>
      </c>
      <c r="H72" s="670">
        <f>'Bevs(2000-2017)'!H299</f>
        <v>0</v>
      </c>
      <c r="I72" s="670">
        <f>'Bevs(2000-2017)'!I299</f>
        <v>123888509</v>
      </c>
      <c r="J72" s="670">
        <f>'Bevs(2000-2017)'!J299</f>
        <v>127063116</v>
      </c>
      <c r="K72" s="670">
        <f>'Bevs(2000-2017)'!K299</f>
        <v>131592218</v>
      </c>
      <c r="L72" s="670">
        <f>'Bevs(2000-2017)'!L299</f>
        <v>151374154</v>
      </c>
      <c r="M72" s="670">
        <f>'Bevs(2000-2017)'!M299</f>
        <v>159279831</v>
      </c>
      <c r="N72" s="670">
        <f>'Bevs(2000-2017)'!N299</f>
        <v>168714991</v>
      </c>
      <c r="O72" s="670">
        <f>'Bevs(2000-2017)'!O299</f>
        <v>169846803</v>
      </c>
      <c r="P72" s="670">
        <f>'Bevs(2000-2017)'!P299</f>
        <v>163991560</v>
      </c>
      <c r="Q72" s="670">
        <f>'Bevs(2000-2017)'!Q299</f>
        <v>161390398</v>
      </c>
      <c r="R72" s="670">
        <f>'Bevs(2000-2017)'!R299</f>
        <v>162700000</v>
      </c>
      <c r="S72" s="670">
        <f>'Bevs(2000-2017)'!S299</f>
        <v>161017489</v>
      </c>
      <c r="T72" s="670">
        <f>'Bevs(2000-2017)'!T299</f>
        <v>155413115</v>
      </c>
      <c r="U72" s="670">
        <f>'Bevs(2000-2017)'!U299</f>
        <v>171528000</v>
      </c>
      <c r="V72" s="669"/>
      <c r="W72" s="101"/>
      <c r="Z72" s="240"/>
    </row>
    <row r="73" spans="2:26" s="68" customFormat="1" ht="15" customHeight="1" x14ac:dyDescent="0.3">
      <c r="C73" s="52" t="s">
        <v>492</v>
      </c>
      <c r="D73" s="173">
        <f>'Bevs(2000-2017)'!D300</f>
        <v>0</v>
      </c>
      <c r="E73" s="173">
        <f>'Bevs(2000-2017)'!E300</f>
        <v>0</v>
      </c>
      <c r="F73" s="173">
        <f>'Bevs(2000-2017)'!F300</f>
        <v>0</v>
      </c>
      <c r="G73" s="173">
        <f>'Bevs(2000-2017)'!G300</f>
        <v>0</v>
      </c>
      <c r="H73" s="173">
        <f>'Bevs(2000-2017)'!H300</f>
        <v>0</v>
      </c>
      <c r="I73" s="173">
        <f>'Bevs(2000-2017)'!I300</f>
        <v>116975526</v>
      </c>
      <c r="J73" s="173">
        <f>'Bevs(2000-2017)'!J300</f>
        <v>127256557</v>
      </c>
      <c r="K73" s="173">
        <f>'Bevs(2000-2017)'!K300</f>
        <v>143256707</v>
      </c>
      <c r="L73" s="173">
        <f>'Bevs(2000-2017)'!L300</f>
        <v>154212287</v>
      </c>
      <c r="M73" s="173">
        <f>'Bevs(2000-2017)'!M300</f>
        <v>162504022</v>
      </c>
      <c r="N73" s="173">
        <f>'Bevs(2000-2017)'!N300</f>
        <v>159628859</v>
      </c>
      <c r="O73" s="173">
        <f>'Bevs(2000-2017)'!O300</f>
        <v>157134250</v>
      </c>
      <c r="P73" s="173">
        <f>'Bevs(2000-2017)'!P300</f>
        <v>156923987</v>
      </c>
      <c r="Q73" s="173">
        <f>'Bevs(2000-2017)'!Q300</f>
        <v>158059879</v>
      </c>
      <c r="R73" s="173">
        <f>'Bevs(2000-2017)'!R300</f>
        <v>159600000</v>
      </c>
      <c r="S73" s="173">
        <f>'Bevs(2000-2017)'!S300</f>
        <v>168284499</v>
      </c>
      <c r="T73" s="173">
        <f>'Bevs(2000-2017)'!T300</f>
        <v>161714979</v>
      </c>
      <c r="U73" s="173">
        <f>'Bevs(2000-2017)'!U300</f>
        <v>164300000</v>
      </c>
      <c r="V73" s="173"/>
      <c r="W73" s="101"/>
      <c r="Z73" s="240"/>
    </row>
    <row r="74" spans="2:26" s="174" customFormat="1" x14ac:dyDescent="0.3">
      <c r="C74" s="175" t="s">
        <v>862</v>
      </c>
      <c r="D74" s="176">
        <f>'Bevs(2000-2017)'!D301</f>
        <v>-39400121</v>
      </c>
      <c r="E74" s="176">
        <f>'Bevs(2000-2017)'!E301</f>
        <v>-40360425</v>
      </c>
      <c r="F74" s="176">
        <f>'Bevs(2000-2017)'!F301</f>
        <v>-43826712</v>
      </c>
      <c r="G74" s="176">
        <f>'Bevs(2000-2017)'!G301</f>
        <v>-46861930</v>
      </c>
      <c r="H74" s="176">
        <f>'Bevs(2000-2017)'!H301</f>
        <v>-60407400</v>
      </c>
      <c r="I74" s="176">
        <f>'Bevs(2000-2017)'!I301</f>
        <v>62215419</v>
      </c>
      <c r="J74" s="176">
        <f>'Bevs(2000-2017)'!J301</f>
        <v>61111680</v>
      </c>
      <c r="K74" s="176">
        <f>'Bevs(2000-2017)'!K301</f>
        <v>59586530</v>
      </c>
      <c r="L74" s="176">
        <f>'Bevs(2000-2017)'!L301</f>
        <v>76048552</v>
      </c>
      <c r="M74" s="176">
        <f>'Bevs(2000-2017)'!M301</f>
        <v>82598898</v>
      </c>
      <c r="N74" s="176">
        <f>'Bevs(2000-2017)'!N301</f>
        <v>95203676</v>
      </c>
      <c r="O74" s="176">
        <f>'Bevs(2000-2017)'!O301</f>
        <v>99354453</v>
      </c>
      <c r="P74" s="176">
        <f>'Bevs(2000-2017)'!P301</f>
        <v>94831249</v>
      </c>
      <c r="Q74" s="176">
        <f>'Bevs(2000-2017)'!Q301</f>
        <v>92500492</v>
      </c>
      <c r="R74" s="176">
        <f>'Bevs(2000-2017)'!R301</f>
        <v>94175681</v>
      </c>
      <c r="S74" s="176">
        <f>'Bevs(2000-2017)'!S301</f>
        <v>90636175</v>
      </c>
      <c r="T74" s="176">
        <f>'Bevs(2000-2017)'!T301</f>
        <v>85245957</v>
      </c>
      <c r="U74" s="176">
        <f>'Bevs(2000-2017)'!U301</f>
        <v>100313583</v>
      </c>
      <c r="V74" s="176"/>
      <c r="W74" s="177"/>
      <c r="Z74" s="241"/>
    </row>
    <row r="75" spans="2:26" s="68" customFormat="1" ht="15" customHeight="1" x14ac:dyDescent="0.3">
      <c r="S75" s="92"/>
      <c r="W75" s="101"/>
      <c r="Z75" s="240"/>
    </row>
    <row r="76" spans="2:26" s="68" customFormat="1" ht="15" customHeight="1" x14ac:dyDescent="0.3">
      <c r="S76" s="92"/>
      <c r="W76" s="101"/>
      <c r="Z76" s="240"/>
    </row>
    <row r="77" spans="2:26" s="68" customFormat="1" ht="15" customHeight="1" x14ac:dyDescent="0.3">
      <c r="S77" s="92"/>
      <c r="W77" s="101"/>
      <c r="Z77" s="240"/>
    </row>
    <row r="78" spans="2:26" s="68" customFormat="1" ht="15" customHeight="1" x14ac:dyDescent="0.3">
      <c r="S78" s="92"/>
      <c r="W78" s="101"/>
      <c r="Z78" s="240"/>
    </row>
    <row r="79" spans="2:26" s="68" customFormat="1" ht="15" customHeight="1" x14ac:dyDescent="0.3">
      <c r="S79" s="92"/>
      <c r="W79" s="101"/>
      <c r="Z79" s="240"/>
    </row>
    <row r="80" spans="2:26" s="68" customFormat="1" ht="20.25" customHeight="1" x14ac:dyDescent="0.3">
      <c r="B80" s="115"/>
      <c r="C80" s="116" t="s">
        <v>202</v>
      </c>
      <c r="D80" s="115"/>
      <c r="E80" s="115"/>
      <c r="F80" s="115"/>
      <c r="G80" s="115"/>
      <c r="H80" s="115"/>
      <c r="I80" s="115"/>
      <c r="J80" s="115"/>
      <c r="K80" s="115"/>
      <c r="L80" s="115"/>
      <c r="M80" s="115"/>
      <c r="N80" s="115"/>
      <c r="O80" s="115"/>
      <c r="P80" s="115"/>
      <c r="Q80" s="115"/>
      <c r="R80" s="115"/>
      <c r="S80" s="472"/>
      <c r="T80" s="115"/>
      <c r="U80" s="115"/>
      <c r="V80" s="115"/>
      <c r="W80" s="101"/>
      <c r="Z80" s="240"/>
    </row>
    <row r="81" spans="2:26" s="68" customFormat="1" ht="20.25" customHeight="1" x14ac:dyDescent="0.3">
      <c r="B81" s="117">
        <v>1</v>
      </c>
      <c r="C81" s="732" t="s">
        <v>335</v>
      </c>
      <c r="D81" s="734"/>
      <c r="E81" s="734"/>
      <c r="F81" s="734"/>
      <c r="G81" s="734"/>
      <c r="H81" s="734"/>
      <c r="I81" s="734"/>
      <c r="J81" s="734"/>
      <c r="K81" s="734"/>
      <c r="L81" s="734"/>
      <c r="M81" s="734"/>
      <c r="N81" s="734"/>
      <c r="O81" s="734"/>
      <c r="P81" s="734"/>
      <c r="Q81" s="734"/>
      <c r="R81" s="734"/>
      <c r="S81" s="734"/>
      <c r="T81" s="734"/>
      <c r="U81" s="734"/>
      <c r="V81" s="734"/>
      <c r="W81" s="101"/>
      <c r="Z81" s="240"/>
    </row>
    <row r="82" spans="2:26" s="101" customFormat="1" ht="20.25" customHeight="1" x14ac:dyDescent="0.3">
      <c r="B82" s="118">
        <v>2</v>
      </c>
      <c r="C82" s="720" t="s">
        <v>336</v>
      </c>
      <c r="D82" s="720"/>
      <c r="E82" s="720"/>
      <c r="F82" s="720"/>
      <c r="G82" s="720"/>
      <c r="H82" s="720"/>
      <c r="I82" s="720"/>
      <c r="J82" s="720"/>
      <c r="K82" s="720"/>
      <c r="L82" s="720"/>
      <c r="M82" s="720"/>
      <c r="N82" s="720"/>
      <c r="O82" s="720"/>
      <c r="P82" s="720"/>
      <c r="Q82" s="720"/>
      <c r="R82" s="720"/>
      <c r="S82" s="720"/>
      <c r="T82" s="720"/>
      <c r="U82" s="720"/>
      <c r="V82" s="720"/>
      <c r="Z82" s="242"/>
    </row>
    <row r="83" spans="2:26" s="101" customFormat="1" ht="20.25" customHeight="1" x14ac:dyDescent="0.3">
      <c r="B83" s="118"/>
      <c r="C83" s="720"/>
      <c r="D83" s="720"/>
      <c r="E83" s="720"/>
      <c r="F83" s="720"/>
      <c r="G83" s="720"/>
      <c r="H83" s="720"/>
      <c r="I83" s="720"/>
      <c r="J83" s="720"/>
      <c r="K83" s="720"/>
      <c r="L83" s="720"/>
      <c r="M83" s="720"/>
      <c r="N83" s="720"/>
      <c r="O83" s="720"/>
      <c r="P83" s="720"/>
      <c r="Q83" s="720"/>
      <c r="R83" s="720"/>
      <c r="S83" s="720"/>
      <c r="T83" s="720"/>
      <c r="U83" s="720"/>
      <c r="V83" s="720"/>
      <c r="Z83" s="242"/>
    </row>
    <row r="84" spans="2:26" s="68" customFormat="1" ht="20.25" customHeight="1" x14ac:dyDescent="0.3">
      <c r="B84" s="117">
        <v>3</v>
      </c>
      <c r="C84" s="733" t="s">
        <v>337</v>
      </c>
      <c r="D84" s="733"/>
      <c r="E84" s="733"/>
      <c r="F84" s="733"/>
      <c r="G84" s="733"/>
      <c r="H84" s="733"/>
      <c r="I84" s="733"/>
      <c r="J84" s="733"/>
      <c r="K84" s="733"/>
      <c r="L84" s="733"/>
      <c r="M84" s="733"/>
      <c r="N84" s="733"/>
      <c r="O84" s="733"/>
      <c r="P84" s="733"/>
      <c r="Q84" s="733"/>
      <c r="R84" s="733"/>
      <c r="S84" s="733"/>
      <c r="T84" s="733"/>
      <c r="U84" s="733"/>
      <c r="V84" s="733"/>
      <c r="W84" s="101"/>
      <c r="Z84" s="240"/>
    </row>
    <row r="85" spans="2:26" s="68" customFormat="1" ht="20.25" customHeight="1" x14ac:dyDescent="0.3">
      <c r="B85" s="118">
        <v>4</v>
      </c>
      <c r="C85" s="735" t="s">
        <v>338</v>
      </c>
      <c r="D85" s="735"/>
      <c r="E85" s="735"/>
      <c r="F85" s="735"/>
      <c r="G85" s="735"/>
      <c r="H85" s="735"/>
      <c r="I85" s="735"/>
      <c r="J85" s="735"/>
      <c r="K85" s="735"/>
      <c r="L85" s="735"/>
      <c r="M85" s="735"/>
      <c r="N85" s="735"/>
      <c r="O85" s="735"/>
      <c r="P85" s="735"/>
      <c r="Q85" s="735"/>
      <c r="R85" s="735"/>
      <c r="S85" s="735"/>
      <c r="T85" s="735"/>
      <c r="U85" s="735"/>
      <c r="V85" s="735"/>
      <c r="W85" s="101"/>
      <c r="Z85" s="240"/>
    </row>
    <row r="86" spans="2:26" s="68" customFormat="1" ht="20.25" customHeight="1" x14ac:dyDescent="0.3">
      <c r="B86" s="117">
        <v>5</v>
      </c>
      <c r="C86" s="733" t="s">
        <v>339</v>
      </c>
      <c r="D86" s="733"/>
      <c r="E86" s="733"/>
      <c r="F86" s="733"/>
      <c r="G86" s="733"/>
      <c r="H86" s="733"/>
      <c r="I86" s="733"/>
      <c r="J86" s="733"/>
      <c r="K86" s="733"/>
      <c r="L86" s="733"/>
      <c r="M86" s="733"/>
      <c r="N86" s="733"/>
      <c r="O86" s="733"/>
      <c r="P86" s="733"/>
      <c r="Q86" s="733"/>
      <c r="R86" s="733"/>
      <c r="S86" s="733"/>
      <c r="T86" s="733"/>
      <c r="U86" s="733"/>
      <c r="V86" s="733"/>
      <c r="W86" s="101"/>
      <c r="Z86" s="240"/>
    </row>
    <row r="87" spans="2:26" s="68" customFormat="1" ht="20.25" customHeight="1" x14ac:dyDescent="0.3">
      <c r="B87" s="118">
        <v>6</v>
      </c>
      <c r="C87" s="735" t="s">
        <v>340</v>
      </c>
      <c r="D87" s="735"/>
      <c r="E87" s="735"/>
      <c r="F87" s="735"/>
      <c r="G87" s="735"/>
      <c r="H87" s="735"/>
      <c r="I87" s="735"/>
      <c r="J87" s="735"/>
      <c r="K87" s="735"/>
      <c r="L87" s="735"/>
      <c r="M87" s="735"/>
      <c r="N87" s="735"/>
      <c r="O87" s="735"/>
      <c r="P87" s="735"/>
      <c r="Q87" s="735"/>
      <c r="R87" s="735"/>
      <c r="S87" s="735"/>
      <c r="T87" s="735"/>
      <c r="U87" s="735"/>
      <c r="V87" s="735"/>
      <c r="W87" s="101"/>
      <c r="Z87" s="240"/>
    </row>
    <row r="88" spans="2:26" s="68" customFormat="1" ht="20.25" customHeight="1" x14ac:dyDescent="0.3">
      <c r="B88" s="117">
        <v>7</v>
      </c>
      <c r="C88" s="733" t="s">
        <v>341</v>
      </c>
      <c r="D88" s="733"/>
      <c r="E88" s="733"/>
      <c r="F88" s="733"/>
      <c r="G88" s="733"/>
      <c r="H88" s="733"/>
      <c r="I88" s="733"/>
      <c r="J88" s="733"/>
      <c r="K88" s="733"/>
      <c r="L88" s="733"/>
      <c r="M88" s="733"/>
      <c r="N88" s="733"/>
      <c r="O88" s="733"/>
      <c r="P88" s="733"/>
      <c r="Q88" s="733"/>
      <c r="R88" s="733"/>
      <c r="S88" s="733"/>
      <c r="T88" s="733"/>
      <c r="U88" s="733"/>
      <c r="V88" s="733"/>
      <c r="W88" s="101"/>
      <c r="Z88" s="240"/>
    </row>
    <row r="89" spans="2:26" ht="20.25" customHeight="1" x14ac:dyDescent="0.3">
      <c r="B89" s="118">
        <v>8</v>
      </c>
      <c r="C89" s="735" t="s">
        <v>342</v>
      </c>
      <c r="D89" s="735"/>
      <c r="E89" s="735"/>
      <c r="F89" s="735"/>
      <c r="G89" s="735"/>
      <c r="H89" s="735"/>
      <c r="I89" s="735"/>
      <c r="J89" s="735"/>
      <c r="K89" s="735"/>
      <c r="L89" s="735"/>
      <c r="M89" s="735"/>
      <c r="N89" s="735"/>
      <c r="O89" s="735"/>
      <c r="P89" s="735"/>
      <c r="Q89" s="735"/>
      <c r="R89" s="735"/>
      <c r="S89" s="735"/>
      <c r="T89" s="735"/>
      <c r="U89" s="735"/>
      <c r="V89" s="735"/>
    </row>
    <row r="90" spans="2:26" ht="20.25" customHeight="1" x14ac:dyDescent="0.3">
      <c r="B90" s="117">
        <v>9</v>
      </c>
      <c r="C90" s="732" t="s">
        <v>334</v>
      </c>
      <c r="D90" s="732"/>
      <c r="E90" s="732"/>
      <c r="F90" s="732"/>
      <c r="G90" s="732"/>
      <c r="H90" s="732"/>
      <c r="I90" s="732"/>
      <c r="J90" s="732"/>
      <c r="K90" s="732"/>
      <c r="L90" s="732"/>
      <c r="M90" s="732"/>
      <c r="N90" s="732"/>
      <c r="O90" s="732"/>
      <c r="P90" s="732"/>
      <c r="Q90" s="732"/>
      <c r="R90" s="732"/>
      <c r="S90" s="732"/>
      <c r="T90" s="732"/>
      <c r="U90" s="732"/>
      <c r="V90" s="732"/>
    </row>
    <row r="91" spans="2:26" ht="20.25" customHeight="1" x14ac:dyDescent="0.3">
      <c r="B91" s="118">
        <v>10</v>
      </c>
      <c r="C91" s="720" t="s">
        <v>343</v>
      </c>
      <c r="D91" s="720"/>
      <c r="E91" s="720"/>
      <c r="F91" s="720"/>
      <c r="G91" s="720"/>
      <c r="H91" s="720"/>
      <c r="I91" s="720"/>
      <c r="J91" s="720"/>
      <c r="K91" s="720"/>
      <c r="L91" s="720"/>
      <c r="M91" s="720"/>
      <c r="N91" s="720"/>
      <c r="O91" s="720"/>
      <c r="P91" s="720"/>
      <c r="Q91" s="720"/>
      <c r="R91" s="720"/>
      <c r="S91" s="720"/>
      <c r="T91" s="720"/>
      <c r="U91" s="720"/>
      <c r="V91" s="720"/>
    </row>
    <row r="92" spans="2:26" ht="20.25" customHeight="1" x14ac:dyDescent="0.3">
      <c r="B92" s="118"/>
      <c r="C92" s="720"/>
      <c r="D92" s="720"/>
      <c r="E92" s="720"/>
      <c r="F92" s="720"/>
      <c r="G92" s="720"/>
      <c r="H92" s="720"/>
      <c r="I92" s="720"/>
      <c r="J92" s="720"/>
      <c r="K92" s="720"/>
      <c r="L92" s="720"/>
      <c r="M92" s="720"/>
      <c r="N92" s="720"/>
      <c r="O92" s="720"/>
      <c r="P92" s="720"/>
      <c r="Q92" s="720"/>
      <c r="R92" s="720"/>
      <c r="S92" s="720"/>
      <c r="T92" s="720"/>
      <c r="U92" s="720"/>
      <c r="V92" s="720"/>
    </row>
    <row r="93" spans="2:26" ht="20.25" customHeight="1" x14ac:dyDescent="0.3">
      <c r="B93" s="117">
        <v>11</v>
      </c>
      <c r="C93" s="733" t="s">
        <v>344</v>
      </c>
      <c r="D93" s="733"/>
      <c r="E93" s="733"/>
      <c r="F93" s="733"/>
      <c r="G93" s="733"/>
      <c r="H93" s="733"/>
      <c r="I93" s="733"/>
      <c r="J93" s="733"/>
      <c r="K93" s="733"/>
      <c r="L93" s="733"/>
      <c r="M93" s="733"/>
      <c r="N93" s="733"/>
      <c r="O93" s="733"/>
      <c r="P93" s="733"/>
      <c r="Q93" s="733"/>
      <c r="R93" s="733"/>
      <c r="S93" s="733"/>
      <c r="T93" s="733"/>
      <c r="U93" s="733"/>
      <c r="V93" s="733"/>
    </row>
    <row r="94" spans="2:26" ht="35.25" customHeight="1" x14ac:dyDescent="0.3">
      <c r="B94" s="118">
        <v>12</v>
      </c>
      <c r="C94" s="720" t="s">
        <v>495</v>
      </c>
      <c r="D94" s="720"/>
      <c r="E94" s="720"/>
      <c r="F94" s="720"/>
      <c r="G94" s="720"/>
      <c r="H94" s="720"/>
      <c r="I94" s="720"/>
      <c r="J94" s="720"/>
      <c r="K94" s="720"/>
      <c r="L94" s="720"/>
      <c r="M94" s="720"/>
      <c r="N94" s="720"/>
      <c r="O94" s="720"/>
      <c r="P94" s="720"/>
      <c r="Q94" s="720"/>
      <c r="R94" s="720"/>
      <c r="S94" s="720"/>
      <c r="T94" s="720"/>
      <c r="U94" s="720"/>
      <c r="V94" s="720"/>
    </row>
  </sheetData>
  <mergeCells count="30">
    <mergeCell ref="C82:V83"/>
    <mergeCell ref="D22:V22"/>
    <mergeCell ref="G38:V38"/>
    <mergeCell ref="K59:V59"/>
    <mergeCell ref="K50:V50"/>
    <mergeCell ref="K66:V66"/>
    <mergeCell ref="C2:Y2"/>
    <mergeCell ref="Y5:Y10"/>
    <mergeCell ref="Y12:Y20"/>
    <mergeCell ref="Y22:Y24"/>
    <mergeCell ref="Y26:Y36"/>
    <mergeCell ref="D5:V5"/>
    <mergeCell ref="D12:V12"/>
    <mergeCell ref="E26:V26"/>
    <mergeCell ref="C94:V94"/>
    <mergeCell ref="K63:V63"/>
    <mergeCell ref="Y38:Y48"/>
    <mergeCell ref="Y50:Y57"/>
    <mergeCell ref="Y59:Y62"/>
    <mergeCell ref="C70:V70"/>
    <mergeCell ref="C90:V90"/>
    <mergeCell ref="C91:V92"/>
    <mergeCell ref="C93:V93"/>
    <mergeCell ref="C81:V81"/>
    <mergeCell ref="C85:V85"/>
    <mergeCell ref="C87:V87"/>
    <mergeCell ref="C86:V86"/>
    <mergeCell ref="C88:V88"/>
    <mergeCell ref="C89:V89"/>
    <mergeCell ref="C84:V84"/>
  </mergeCells>
  <pageMargins left="0.51181102362204722" right="0.51181102362204722" top="0.55118110236220474" bottom="0.55118110236220474" header="0.19685039370078741" footer="0.19685039370078741"/>
  <pageSetup scale="41" fitToHeight="2" orientation="landscape" r:id="rId1"/>
  <headerFooter>
    <oddFooter>&amp;Z&amp;F&amp;RPage &amp;P</oddFooter>
  </headerFooter>
  <rowBreaks count="1" manualBreakCount="1">
    <brk id="62"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2:F37"/>
  <sheetViews>
    <sheetView topLeftCell="A19" workbookViewId="0">
      <selection activeCell="A12" sqref="A12"/>
    </sheetView>
  </sheetViews>
  <sheetFormatPr defaultColWidth="8.77734375" defaultRowHeight="14.4" x14ac:dyDescent="0.3"/>
  <cols>
    <col min="1" max="1" width="63.6640625" style="475" bestFit="1" customWidth="1"/>
    <col min="2" max="2" width="10.6640625" style="475" customWidth="1"/>
    <col min="3" max="3" width="10.109375" style="475" customWidth="1"/>
    <col min="4" max="4" width="10.44140625" style="475" customWidth="1"/>
    <col min="5" max="5" width="10.109375" style="475" bestFit="1" customWidth="1"/>
  </cols>
  <sheetData>
    <row r="2" spans="1:6" ht="57.6" x14ac:dyDescent="0.3">
      <c r="A2" s="23" t="s">
        <v>658</v>
      </c>
      <c r="B2" s="465" t="s">
        <v>653</v>
      </c>
      <c r="C2" s="465" t="s">
        <v>654</v>
      </c>
      <c r="D2" s="465" t="s">
        <v>664</v>
      </c>
      <c r="E2" s="465" t="s">
        <v>789</v>
      </c>
      <c r="F2" s="52"/>
    </row>
    <row r="3" spans="1:6" x14ac:dyDescent="0.3">
      <c r="A3" s="622" t="s">
        <v>790</v>
      </c>
      <c r="B3" s="623"/>
      <c r="C3" s="623"/>
      <c r="D3" s="623"/>
      <c r="E3" s="623"/>
    </row>
    <row r="4" spans="1:6" x14ac:dyDescent="0.3">
      <c r="A4" s="453" t="s">
        <v>561</v>
      </c>
      <c r="B4" s="463">
        <v>91074</v>
      </c>
      <c r="C4" s="463">
        <v>92702</v>
      </c>
      <c r="D4" s="463">
        <v>92910</v>
      </c>
      <c r="E4" s="463">
        <v>93828</v>
      </c>
    </row>
    <row r="5" spans="1:6" x14ac:dyDescent="0.3">
      <c r="A5" s="453" t="s">
        <v>791</v>
      </c>
      <c r="B5" s="463">
        <v>28711</v>
      </c>
      <c r="C5" s="463">
        <v>33314</v>
      </c>
      <c r="D5" s="463">
        <v>25653</v>
      </c>
      <c r="E5" s="463">
        <v>25359</v>
      </c>
    </row>
    <row r="6" spans="1:6" x14ac:dyDescent="0.3">
      <c r="A6" s="461" t="s">
        <v>815</v>
      </c>
      <c r="B6" s="464">
        <f>SUM(B4:B5)</f>
        <v>119785</v>
      </c>
      <c r="C6" s="464">
        <f>SUM(C4:C5)</f>
        <v>126016</v>
      </c>
      <c r="D6" s="464">
        <f>SUM(D4:D5)</f>
        <v>118563</v>
      </c>
      <c r="E6" s="464">
        <f>SUM(E4:E5)</f>
        <v>119187</v>
      </c>
    </row>
    <row r="7" spans="1:6" x14ac:dyDescent="0.3">
      <c r="A7" s="624" t="s">
        <v>792</v>
      </c>
      <c r="B7" s="625"/>
      <c r="C7" s="625"/>
      <c r="D7" s="625"/>
      <c r="E7" s="625"/>
    </row>
    <row r="8" spans="1:6" x14ac:dyDescent="0.3">
      <c r="A8" s="453" t="s">
        <v>811</v>
      </c>
      <c r="B8" s="463">
        <v>97</v>
      </c>
      <c r="C8" s="463">
        <v>100</v>
      </c>
      <c r="D8" s="463">
        <v>89</v>
      </c>
      <c r="E8" s="463">
        <v>92</v>
      </c>
    </row>
    <row r="9" spans="1:6" ht="43.2" x14ac:dyDescent="0.3">
      <c r="A9" s="453" t="s">
        <v>657</v>
      </c>
      <c r="B9" s="463">
        <v>1520</v>
      </c>
      <c r="C9" s="463">
        <v>1730</v>
      </c>
      <c r="D9" s="463">
        <v>1610</v>
      </c>
      <c r="E9" s="463">
        <v>1770</v>
      </c>
    </row>
    <row r="10" spans="1:6" x14ac:dyDescent="0.3">
      <c r="A10" s="461" t="s">
        <v>814</v>
      </c>
      <c r="B10" s="464">
        <f>SUM(B8:B9)</f>
        <v>1617</v>
      </c>
      <c r="C10" s="464">
        <f>SUM(C8:C9)</f>
        <v>1830</v>
      </c>
      <c r="D10" s="464">
        <f>SUM(D8:D9)</f>
        <v>1699</v>
      </c>
      <c r="E10" s="464">
        <f>SUM(E8:E9)</f>
        <v>1862</v>
      </c>
    </row>
    <row r="11" spans="1:6" x14ac:dyDescent="0.3">
      <c r="A11" s="624" t="s">
        <v>793</v>
      </c>
      <c r="B11" s="625"/>
      <c r="C11" s="625"/>
      <c r="D11" s="625"/>
      <c r="E11" s="626"/>
    </row>
    <row r="12" spans="1:6" ht="28.8" x14ac:dyDescent="0.3">
      <c r="A12" s="453" t="s">
        <v>650</v>
      </c>
      <c r="B12" s="463">
        <v>17055</v>
      </c>
      <c r="C12" s="463">
        <v>20700</v>
      </c>
      <c r="D12" s="463">
        <v>23500</v>
      </c>
      <c r="E12" s="463">
        <v>22746</v>
      </c>
    </row>
    <row r="13" spans="1:6" x14ac:dyDescent="0.3">
      <c r="A13" s="453" t="s">
        <v>623</v>
      </c>
      <c r="B13" s="463">
        <v>22721</v>
      </c>
      <c r="C13" s="463">
        <v>21675</v>
      </c>
      <c r="D13" s="463">
        <v>19581</v>
      </c>
      <c r="E13" s="2">
        <v>17821</v>
      </c>
    </row>
    <row r="14" spans="1:6" ht="28.8" x14ac:dyDescent="0.3">
      <c r="A14" s="453" t="s">
        <v>812</v>
      </c>
      <c r="B14" s="463">
        <v>303</v>
      </c>
      <c r="C14" s="463">
        <v>395</v>
      </c>
      <c r="D14" s="463">
        <v>550</v>
      </c>
      <c r="E14" s="463">
        <v>627</v>
      </c>
    </row>
    <row r="15" spans="1:6" ht="28.8" x14ac:dyDescent="0.3">
      <c r="A15" s="453" t="s">
        <v>563</v>
      </c>
      <c r="B15" s="463">
        <v>3672</v>
      </c>
      <c r="C15" s="463">
        <v>4225</v>
      </c>
      <c r="D15" s="463">
        <v>4545</v>
      </c>
      <c r="E15" s="463">
        <v>4913</v>
      </c>
    </row>
    <row r="16" spans="1:6" ht="28.8" x14ac:dyDescent="0.3">
      <c r="A16" s="453" t="s">
        <v>794</v>
      </c>
      <c r="B16" s="463">
        <v>461</v>
      </c>
      <c r="C16" s="463">
        <v>628</v>
      </c>
      <c r="D16" s="463">
        <v>675</v>
      </c>
      <c r="E16" s="463">
        <v>622</v>
      </c>
    </row>
    <row r="17" spans="1:5" ht="15" customHeight="1" x14ac:dyDescent="0.3">
      <c r="A17" s="453" t="s">
        <v>795</v>
      </c>
      <c r="B17" s="463">
        <v>15402</v>
      </c>
      <c r="C17" s="463">
        <v>22032</v>
      </c>
      <c r="D17" s="463">
        <v>38394</v>
      </c>
      <c r="E17" s="463">
        <v>38650</v>
      </c>
    </row>
    <row r="18" spans="1:5" s="205" customFormat="1" ht="15" customHeight="1" x14ac:dyDescent="0.3">
      <c r="A18" s="453"/>
      <c r="B18" s="463"/>
      <c r="C18" s="463"/>
      <c r="D18" s="463"/>
      <c r="E18" s="463"/>
    </row>
    <row r="19" spans="1:5" x14ac:dyDescent="0.3">
      <c r="A19" s="453" t="s">
        <v>564</v>
      </c>
      <c r="B19" s="463">
        <v>766</v>
      </c>
      <c r="C19" s="463">
        <v>891</v>
      </c>
      <c r="D19" s="463">
        <v>920</v>
      </c>
      <c r="E19" s="463">
        <v>871</v>
      </c>
    </row>
    <row r="20" spans="1:5" s="205" customFormat="1" x14ac:dyDescent="0.3">
      <c r="A20" s="453" t="s">
        <v>796</v>
      </c>
      <c r="B20" s="463">
        <v>640</v>
      </c>
      <c r="C20" s="463">
        <v>740</v>
      </c>
      <c r="D20" s="463">
        <v>818</v>
      </c>
      <c r="E20" s="463">
        <v>1418</v>
      </c>
    </row>
    <row r="21" spans="1:5" s="475" customFormat="1" ht="28.8" x14ac:dyDescent="0.3">
      <c r="A21" s="461" t="s">
        <v>813</v>
      </c>
      <c r="B21" s="463"/>
      <c r="C21" s="463"/>
      <c r="D21" s="463"/>
      <c r="E21" s="463"/>
    </row>
    <row r="22" spans="1:5" x14ac:dyDescent="0.3">
      <c r="A22" s="624" t="s">
        <v>797</v>
      </c>
      <c r="B22" s="625"/>
      <c r="C22" s="625"/>
      <c r="D22" s="625"/>
      <c r="E22" s="626"/>
    </row>
    <row r="23" spans="1:5" x14ac:dyDescent="0.3">
      <c r="A23" s="453" t="s">
        <v>562</v>
      </c>
      <c r="B23" s="463">
        <v>40842</v>
      </c>
      <c r="C23" s="463">
        <v>44940</v>
      </c>
      <c r="D23" s="463">
        <v>43668</v>
      </c>
      <c r="E23" s="2">
        <v>49649</v>
      </c>
    </row>
    <row r="24" spans="1:5" x14ac:dyDescent="0.3">
      <c r="A24" s="624" t="s">
        <v>798</v>
      </c>
      <c r="B24" s="625"/>
      <c r="C24" s="625"/>
      <c r="D24" s="625"/>
      <c r="E24" s="626"/>
    </row>
    <row r="25" spans="1:5" x14ac:dyDescent="0.3">
      <c r="A25" s="453" t="s">
        <v>568</v>
      </c>
      <c r="B25" s="463">
        <v>116475</v>
      </c>
      <c r="C25" s="463">
        <v>186509</v>
      </c>
      <c r="D25" s="463">
        <v>185477</v>
      </c>
      <c r="E25" s="2">
        <v>174942</v>
      </c>
    </row>
    <row r="26" spans="1:5" x14ac:dyDescent="0.3">
      <c r="A26" s="573" t="s">
        <v>799</v>
      </c>
      <c r="B26" s="52"/>
      <c r="C26" s="52"/>
      <c r="D26" s="52"/>
      <c r="E26" s="639">
        <v>3289</v>
      </c>
    </row>
    <row r="27" spans="1:5" ht="15" thickBot="1" x14ac:dyDescent="0.35">
      <c r="A27" s="627" t="s">
        <v>800</v>
      </c>
      <c r="B27" s="516"/>
      <c r="C27" s="516"/>
      <c r="D27" s="516"/>
      <c r="E27" s="645">
        <v>20596</v>
      </c>
    </row>
    <row r="28" spans="1:5" x14ac:dyDescent="0.3">
      <c r="A28" s="459" t="s">
        <v>644</v>
      </c>
      <c r="B28" s="464">
        <f>SUM(B25:B27,B23:B23,B12:B20,B8:B9,B4:B5)</f>
        <v>339739</v>
      </c>
      <c r="C28" s="464">
        <f>SUM(C25:C27,C23:C23,C12:C20,C8:C9,C4:C5)</f>
        <v>430581</v>
      </c>
      <c r="D28" s="229">
        <f>SUM(D25,D23:D23,D12:D20,D8:D9,D4:D5)</f>
        <v>438390</v>
      </c>
      <c r="E28" s="229">
        <f>SUM(E25,E23:E23,E12:E20,E8:E9,E4:E5)</f>
        <v>433308</v>
      </c>
    </row>
    <row r="29" spans="1:5" x14ac:dyDescent="0.3">
      <c r="A29" s="459"/>
      <c r="B29" s="464"/>
    </row>
    <row r="30" spans="1:5" x14ac:dyDescent="0.3">
      <c r="A30" s="459" t="s">
        <v>645</v>
      </c>
      <c r="B30" s="212"/>
    </row>
    <row r="31" spans="1:5" ht="28.8" x14ac:dyDescent="0.3">
      <c r="A31" s="453" t="s">
        <v>648</v>
      </c>
      <c r="B31" s="212"/>
      <c r="D31" s="2"/>
    </row>
    <row r="32" spans="1:5" ht="28.8" x14ac:dyDescent="0.3">
      <c r="A32" s="453" t="s">
        <v>647</v>
      </c>
      <c r="B32" s="212"/>
    </row>
    <row r="33" spans="1:2" customFormat="1" x14ac:dyDescent="0.3">
      <c r="A33" s="453" t="s">
        <v>565</v>
      </c>
      <c r="B33" s="239"/>
    </row>
    <row r="34" spans="1:2" customFormat="1" x14ac:dyDescent="0.3">
      <c r="A34" s="453" t="s">
        <v>566</v>
      </c>
      <c r="B34" s="239"/>
    </row>
    <row r="35" spans="1:2" customFormat="1" x14ac:dyDescent="0.3">
      <c r="A35" s="453" t="s">
        <v>646</v>
      </c>
      <c r="B35" s="239"/>
    </row>
    <row r="36" spans="1:2" customFormat="1" ht="28.8" x14ac:dyDescent="0.3">
      <c r="A36" s="453" t="s">
        <v>649</v>
      </c>
      <c r="B36" s="239"/>
    </row>
    <row r="37" spans="1:2" customFormat="1" x14ac:dyDescent="0.3">
      <c r="A37" s="454" t="s">
        <v>801</v>
      </c>
      <c r="B37" s="475"/>
    </row>
  </sheetData>
  <pageMargins left="0.7" right="0.7" top="0.75" bottom="0.75" header="0.3" footer="0.3"/>
  <pageSetup scale="73"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65"/>
  <sheetViews>
    <sheetView workbookViewId="0">
      <selection activeCell="G24" sqref="G24"/>
    </sheetView>
  </sheetViews>
  <sheetFormatPr defaultColWidth="8.77734375" defaultRowHeight="14.4" x14ac:dyDescent="0.3"/>
  <cols>
    <col min="1" max="1" width="46.77734375" style="475" bestFit="1" customWidth="1"/>
    <col min="2" max="4" width="14.77734375" style="195" customWidth="1"/>
    <col min="5" max="5" width="10" customWidth="1"/>
    <col min="6" max="6" width="12.77734375" style="195" customWidth="1"/>
    <col min="7" max="7" width="27.33203125" customWidth="1"/>
  </cols>
  <sheetData>
    <row r="1" spans="1:7" ht="43.2" x14ac:dyDescent="0.3">
      <c r="A1" s="21" t="s">
        <v>630</v>
      </c>
      <c r="B1" s="574" t="s">
        <v>749</v>
      </c>
      <c r="C1" s="574" t="s">
        <v>751</v>
      </c>
      <c r="D1" s="576" t="s">
        <v>763</v>
      </c>
      <c r="E1" s="574" t="s">
        <v>750</v>
      </c>
      <c r="F1" s="575" t="s">
        <v>755</v>
      </c>
      <c r="G1" s="574" t="s">
        <v>752</v>
      </c>
    </row>
    <row r="2" spans="1:7" x14ac:dyDescent="0.3">
      <c r="A2" s="572" t="s">
        <v>619</v>
      </c>
      <c r="D2" s="195">
        <v>171</v>
      </c>
      <c r="E2">
        <f t="shared" ref="E2:E20" si="0">SUM(B2:D2)</f>
        <v>171</v>
      </c>
      <c r="G2" t="s">
        <v>759</v>
      </c>
    </row>
    <row r="3" spans="1:7" x14ac:dyDescent="0.3">
      <c r="A3" s="572" t="s">
        <v>642</v>
      </c>
      <c r="B3" s="195">
        <v>103</v>
      </c>
      <c r="D3" s="195">
        <v>71</v>
      </c>
      <c r="E3" s="475">
        <f t="shared" si="0"/>
        <v>174</v>
      </c>
      <c r="G3" s="475" t="s">
        <v>759</v>
      </c>
    </row>
    <row r="4" spans="1:7" x14ac:dyDescent="0.3">
      <c r="A4" s="572" t="s">
        <v>635</v>
      </c>
      <c r="C4" s="195">
        <v>34</v>
      </c>
      <c r="D4" s="195">
        <v>238</v>
      </c>
      <c r="E4" s="475">
        <f t="shared" si="0"/>
        <v>272</v>
      </c>
      <c r="G4" s="475" t="s">
        <v>759</v>
      </c>
    </row>
    <row r="5" spans="1:7" x14ac:dyDescent="0.3">
      <c r="A5" s="572" t="s">
        <v>631</v>
      </c>
      <c r="D5" s="195">
        <v>196</v>
      </c>
      <c r="E5" s="475">
        <f t="shared" si="0"/>
        <v>196</v>
      </c>
      <c r="G5" s="475" t="s">
        <v>759</v>
      </c>
    </row>
    <row r="6" spans="1:7" x14ac:dyDescent="0.3">
      <c r="A6" s="573" t="s">
        <v>632</v>
      </c>
      <c r="D6" s="195">
        <v>445</v>
      </c>
      <c r="E6" s="475">
        <f t="shared" si="0"/>
        <v>445</v>
      </c>
      <c r="F6" s="195">
        <v>9</v>
      </c>
      <c r="G6" s="475" t="s">
        <v>759</v>
      </c>
    </row>
    <row r="7" spans="1:7" x14ac:dyDescent="0.3">
      <c r="A7" s="572" t="s">
        <v>623</v>
      </c>
      <c r="D7" s="195">
        <v>205</v>
      </c>
      <c r="E7" s="475">
        <f t="shared" si="0"/>
        <v>205</v>
      </c>
      <c r="G7" t="s">
        <v>761</v>
      </c>
    </row>
    <row r="8" spans="1:7" x14ac:dyDescent="0.3">
      <c r="A8" s="572" t="s">
        <v>633</v>
      </c>
      <c r="D8" s="195">
        <v>215</v>
      </c>
      <c r="E8" s="475">
        <f t="shared" si="0"/>
        <v>215</v>
      </c>
      <c r="G8" t="s">
        <v>759</v>
      </c>
    </row>
    <row r="9" spans="1:7" x14ac:dyDescent="0.3">
      <c r="A9" s="572" t="s">
        <v>625</v>
      </c>
      <c r="D9" s="195">
        <v>120</v>
      </c>
      <c r="E9" s="475">
        <f t="shared" si="0"/>
        <v>120</v>
      </c>
      <c r="G9" t="s">
        <v>762</v>
      </c>
    </row>
    <row r="10" spans="1:7" x14ac:dyDescent="0.3">
      <c r="A10" s="572" t="s">
        <v>58</v>
      </c>
      <c r="B10" s="195">
        <v>828</v>
      </c>
      <c r="E10" s="475">
        <f t="shared" si="0"/>
        <v>828</v>
      </c>
      <c r="G10" t="s">
        <v>765</v>
      </c>
    </row>
    <row r="11" spans="1:7" x14ac:dyDescent="0.3">
      <c r="A11" s="572" t="s">
        <v>621</v>
      </c>
      <c r="D11" s="195">
        <v>314</v>
      </c>
      <c r="E11" s="475">
        <f t="shared" si="0"/>
        <v>314</v>
      </c>
      <c r="G11" t="s">
        <v>764</v>
      </c>
    </row>
    <row r="12" spans="1:7" x14ac:dyDescent="0.3">
      <c r="A12" s="572" t="s">
        <v>747</v>
      </c>
      <c r="D12" s="195">
        <v>272</v>
      </c>
      <c r="E12" s="475">
        <f t="shared" si="0"/>
        <v>272</v>
      </c>
      <c r="G12" t="s">
        <v>760</v>
      </c>
    </row>
    <row r="13" spans="1:7" x14ac:dyDescent="0.3">
      <c r="A13" s="453" t="s">
        <v>622</v>
      </c>
      <c r="D13" s="195">
        <v>238</v>
      </c>
      <c r="E13" s="475">
        <f t="shared" si="0"/>
        <v>238</v>
      </c>
      <c r="G13" s="475" t="s">
        <v>760</v>
      </c>
    </row>
    <row r="14" spans="1:7" x14ac:dyDescent="0.3">
      <c r="A14" s="453" t="s">
        <v>620</v>
      </c>
      <c r="B14" s="195">
        <v>1254</v>
      </c>
      <c r="E14" s="475">
        <f t="shared" si="0"/>
        <v>1254</v>
      </c>
      <c r="F14" s="195">
        <v>16</v>
      </c>
    </row>
    <row r="15" spans="1:7" x14ac:dyDescent="0.3">
      <c r="A15" s="453" t="s">
        <v>624</v>
      </c>
      <c r="D15" s="195">
        <v>377</v>
      </c>
      <c r="E15" s="475">
        <f t="shared" si="0"/>
        <v>377</v>
      </c>
    </row>
    <row r="16" spans="1:7" x14ac:dyDescent="0.3">
      <c r="A16" s="453" t="s">
        <v>628</v>
      </c>
      <c r="C16" s="195">
        <v>3</v>
      </c>
      <c r="E16" s="475">
        <f t="shared" si="0"/>
        <v>3</v>
      </c>
    </row>
    <row r="17" spans="1:7" s="475" customFormat="1" x14ac:dyDescent="0.3">
      <c r="A17" s="453" t="s">
        <v>766</v>
      </c>
      <c r="B17" s="195">
        <v>236</v>
      </c>
      <c r="C17" s="195"/>
      <c r="D17" s="195">
        <v>30</v>
      </c>
      <c r="E17" s="475">
        <f t="shared" si="0"/>
        <v>266</v>
      </c>
      <c r="F17" s="195"/>
    </row>
    <row r="18" spans="1:7" s="475" customFormat="1" x14ac:dyDescent="0.3">
      <c r="A18" s="453" t="s">
        <v>400</v>
      </c>
      <c r="B18" s="195"/>
      <c r="C18" s="195"/>
      <c r="D18" s="195">
        <v>1503</v>
      </c>
      <c r="E18" s="475">
        <f t="shared" si="0"/>
        <v>1503</v>
      </c>
      <c r="F18" s="195"/>
    </row>
    <row r="19" spans="1:7" x14ac:dyDescent="0.3">
      <c r="A19" s="453" t="s">
        <v>626</v>
      </c>
      <c r="D19" s="195">
        <v>13</v>
      </c>
      <c r="E19" s="475">
        <f t="shared" si="0"/>
        <v>13</v>
      </c>
    </row>
    <row r="20" spans="1:7" x14ac:dyDescent="0.3">
      <c r="A20" s="453" t="s">
        <v>564</v>
      </c>
      <c r="B20" s="195">
        <v>13</v>
      </c>
      <c r="E20" s="475">
        <f t="shared" si="0"/>
        <v>13</v>
      </c>
      <c r="G20" t="s">
        <v>767</v>
      </c>
    </row>
    <row r="21" spans="1:7" s="475" customFormat="1" x14ac:dyDescent="0.3">
      <c r="A21" s="453"/>
      <c r="B21" s="195"/>
      <c r="C21" s="195"/>
      <c r="D21" s="195"/>
      <c r="F21" s="195"/>
    </row>
    <row r="22" spans="1:7" x14ac:dyDescent="0.3">
      <c r="A22" s="572" t="s">
        <v>746</v>
      </c>
      <c r="E22" t="s">
        <v>754</v>
      </c>
      <c r="G22" t="s">
        <v>753</v>
      </c>
    </row>
    <row r="23" spans="1:7" x14ac:dyDescent="0.3">
      <c r="A23" s="453" t="s">
        <v>748</v>
      </c>
      <c r="E23" s="475"/>
      <c r="G23" t="s">
        <v>768</v>
      </c>
    </row>
    <row r="24" spans="1:7" x14ac:dyDescent="0.3">
      <c r="A24" s="453"/>
    </row>
    <row r="25" spans="1:7" x14ac:dyDescent="0.3">
      <c r="A25" s="459" t="s">
        <v>756</v>
      </c>
    </row>
    <row r="26" spans="1:7" x14ac:dyDescent="0.3">
      <c r="A26" s="454" t="s">
        <v>757</v>
      </c>
    </row>
    <row r="27" spans="1:7" x14ac:dyDescent="0.3">
      <c r="A27" s="454" t="s">
        <v>758</v>
      </c>
    </row>
    <row r="28" spans="1:7" x14ac:dyDescent="0.3">
      <c r="A28" s="454"/>
    </row>
    <row r="29" spans="1:7" x14ac:dyDescent="0.3">
      <c r="A29" s="454"/>
    </row>
    <row r="31" spans="1:7" x14ac:dyDescent="0.3">
      <c r="A31" s="453"/>
    </row>
    <row r="32" spans="1:7" x14ac:dyDescent="0.3">
      <c r="A32" s="453"/>
    </row>
    <row r="33" spans="1:1" x14ac:dyDescent="0.3">
      <c r="A33" s="453"/>
    </row>
    <row r="34" spans="1:1" x14ac:dyDescent="0.3">
      <c r="A34" s="453"/>
    </row>
    <row r="35" spans="1:1" x14ac:dyDescent="0.3">
      <c r="A35" s="453"/>
    </row>
    <row r="37" spans="1:1" x14ac:dyDescent="0.3">
      <c r="A37" s="453"/>
    </row>
    <row r="38" spans="1:1" x14ac:dyDescent="0.3">
      <c r="A38" s="453"/>
    </row>
    <row r="39" spans="1:1" x14ac:dyDescent="0.3">
      <c r="A39" s="453"/>
    </row>
    <row r="40" spans="1:1" x14ac:dyDescent="0.3">
      <c r="A40" s="453"/>
    </row>
    <row r="42" spans="1:1" x14ac:dyDescent="0.3">
      <c r="A42" s="453"/>
    </row>
    <row r="43" spans="1:1" x14ac:dyDescent="0.3">
      <c r="A43" s="453"/>
    </row>
    <row r="44" spans="1:1" x14ac:dyDescent="0.3">
      <c r="A44" s="453"/>
    </row>
    <row r="45" spans="1:1" x14ac:dyDescent="0.3">
      <c r="A45" s="453"/>
    </row>
    <row r="47" spans="1:1" x14ac:dyDescent="0.3">
      <c r="A47" s="453"/>
    </row>
    <row r="48" spans="1:1" x14ac:dyDescent="0.3">
      <c r="A48" s="453"/>
    </row>
    <row r="49" spans="1:1" x14ac:dyDescent="0.3">
      <c r="A49" s="453"/>
    </row>
    <row r="50" spans="1:1" x14ac:dyDescent="0.3">
      <c r="A50" s="453"/>
    </row>
    <row r="54" spans="1:1" x14ac:dyDescent="0.3">
      <c r="A54" s="453"/>
    </row>
    <row r="55" spans="1:1" x14ac:dyDescent="0.3">
      <c r="A55" s="453"/>
    </row>
    <row r="57" spans="1:1" x14ac:dyDescent="0.3">
      <c r="A57" s="453"/>
    </row>
    <row r="58" spans="1:1" x14ac:dyDescent="0.3">
      <c r="A58" s="453"/>
    </row>
    <row r="59" spans="1:1" x14ac:dyDescent="0.3">
      <c r="A59" s="453"/>
    </row>
    <row r="60" spans="1:1" x14ac:dyDescent="0.3">
      <c r="A60" s="453"/>
    </row>
    <row r="62" spans="1:1" x14ac:dyDescent="0.3">
      <c r="A62" s="453"/>
    </row>
    <row r="63" spans="1:1" x14ac:dyDescent="0.3">
      <c r="A63" s="453"/>
    </row>
    <row r="64" spans="1:1" x14ac:dyDescent="0.3">
      <c r="A64" s="453"/>
    </row>
    <row r="65" spans="1:1" x14ac:dyDescent="0.3">
      <c r="A65" s="45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175"/>
  <sheetViews>
    <sheetView zoomScale="70" zoomScaleNormal="70" workbookViewId="0">
      <selection activeCell="B132" sqref="B132"/>
    </sheetView>
  </sheetViews>
  <sheetFormatPr defaultColWidth="8.77734375" defaultRowHeight="14.4" outlineLevelCol="1" x14ac:dyDescent="0.3"/>
  <cols>
    <col min="1" max="1" width="3.77734375" style="6" bestFit="1" customWidth="1"/>
    <col min="2" max="2" width="80" customWidth="1" outlineLevel="1"/>
    <col min="3" max="3" width="12.77734375" customWidth="1"/>
    <col min="4" max="8" width="13.44140625" bestFit="1" customWidth="1"/>
    <col min="9" max="9" width="12.77734375" style="6" customWidth="1"/>
    <col min="10" max="15" width="13.44140625" style="6" bestFit="1" customWidth="1"/>
    <col min="16" max="17" width="13.44140625" style="6" customWidth="1"/>
    <col min="18" max="18" width="25.33203125" style="6" bestFit="1" customWidth="1"/>
    <col min="19" max="19" width="9.109375" style="6"/>
  </cols>
  <sheetData>
    <row r="1" spans="2:18" ht="15" thickBot="1" x14ac:dyDescent="0.35">
      <c r="F1" s="685" t="s">
        <v>705</v>
      </c>
      <c r="G1" s="685"/>
      <c r="H1" s="685"/>
    </row>
    <row r="2" spans="2:18" ht="30.75" customHeight="1" thickBot="1" x14ac:dyDescent="0.35">
      <c r="B2" s="682" t="s">
        <v>675</v>
      </c>
      <c r="C2" s="683"/>
      <c r="D2" s="683"/>
      <c r="E2" s="683"/>
      <c r="F2" s="683"/>
      <c r="G2" s="683"/>
      <c r="H2" s="684"/>
      <c r="I2" s="55"/>
      <c r="J2" s="56"/>
      <c r="K2" s="56"/>
      <c r="L2" s="56"/>
      <c r="M2" s="56"/>
      <c r="N2" s="56"/>
    </row>
    <row r="4" spans="2:18" s="6" customFormat="1" ht="23.4" x14ac:dyDescent="0.45">
      <c r="B4" s="170" t="s">
        <v>33</v>
      </c>
      <c r="C4" s="171"/>
      <c r="D4" s="169"/>
      <c r="E4" s="169"/>
      <c r="F4" s="169"/>
      <c r="G4" s="169"/>
      <c r="H4" s="169"/>
      <c r="I4" s="169"/>
      <c r="J4" s="169"/>
      <c r="K4" s="169"/>
      <c r="L4" s="169"/>
      <c r="M4" s="169"/>
      <c r="N4" s="169"/>
      <c r="O4" s="169"/>
      <c r="P4" s="169"/>
      <c r="Q4" s="169"/>
    </row>
    <row r="5" spans="2:18" s="6" customFormat="1" ht="15.6" x14ac:dyDescent="0.3">
      <c r="B5" s="244"/>
      <c r="C5" s="244">
        <v>2003</v>
      </c>
      <c r="D5" s="244">
        <v>2004</v>
      </c>
      <c r="E5" s="244">
        <v>2005</v>
      </c>
      <c r="F5" s="244">
        <v>2006</v>
      </c>
      <c r="G5" s="244">
        <v>2007</v>
      </c>
      <c r="H5" s="244">
        <v>2008</v>
      </c>
      <c r="I5" s="244">
        <v>2009</v>
      </c>
      <c r="J5" s="244">
        <v>2010</v>
      </c>
      <c r="K5" s="244">
        <v>2011</v>
      </c>
      <c r="L5" s="244">
        <v>2012</v>
      </c>
      <c r="M5" s="244">
        <v>2013</v>
      </c>
      <c r="N5" s="244">
        <v>2014</v>
      </c>
      <c r="O5" s="244">
        <v>2015</v>
      </c>
      <c r="P5" s="244">
        <v>2016</v>
      </c>
      <c r="Q5" s="244">
        <v>2017</v>
      </c>
    </row>
    <row r="6" spans="2:18" s="6" customFormat="1" ht="15.6" x14ac:dyDescent="0.3">
      <c r="B6" s="245" t="s">
        <v>10</v>
      </c>
      <c r="C6" s="258"/>
      <c r="D6" s="258"/>
      <c r="E6" s="258"/>
      <c r="F6" s="258"/>
      <c r="G6" s="258"/>
      <c r="H6" s="258"/>
      <c r="I6" s="258"/>
      <c r="J6" s="258"/>
      <c r="K6" s="258"/>
      <c r="L6" s="258"/>
      <c r="M6" s="258"/>
      <c r="N6" s="258"/>
      <c r="O6" s="258"/>
      <c r="P6" s="258"/>
      <c r="Q6" s="258"/>
    </row>
    <row r="7" spans="2:18" ht="15.6" x14ac:dyDescent="0.3">
      <c r="B7" s="259" t="s">
        <v>34</v>
      </c>
      <c r="C7" s="243"/>
      <c r="D7" s="260">
        <v>0.72</v>
      </c>
      <c r="E7" s="260">
        <v>0.73</v>
      </c>
      <c r="F7" s="260">
        <v>0.71</v>
      </c>
      <c r="G7" s="260">
        <v>0.70299999999999996</v>
      </c>
      <c r="H7" s="260">
        <v>0.72499999999999998</v>
      </c>
      <c r="I7" s="261">
        <v>0.76900000000000002</v>
      </c>
      <c r="J7" s="261">
        <v>0.79300000000000004</v>
      </c>
      <c r="K7" s="261">
        <v>0.73299999999999998</v>
      </c>
      <c r="L7" s="261">
        <v>0.79300000000000004</v>
      </c>
      <c r="M7" s="261">
        <v>0.746</v>
      </c>
      <c r="N7" s="261">
        <v>0.7389</v>
      </c>
      <c r="O7" s="261">
        <v>0.6925</v>
      </c>
      <c r="P7" s="261">
        <v>0.71579999999999999</v>
      </c>
      <c r="Q7" s="261">
        <v>0.68559999999999999</v>
      </c>
    </row>
    <row r="8" spans="2:18" ht="15.6" x14ac:dyDescent="0.3">
      <c r="B8" s="259" t="s">
        <v>35</v>
      </c>
      <c r="C8" s="243"/>
      <c r="D8" s="260">
        <v>0.82</v>
      </c>
      <c r="E8" s="260">
        <v>0.81</v>
      </c>
      <c r="F8" s="260">
        <v>0.77</v>
      </c>
      <c r="G8" s="260">
        <v>0.83899999999999997</v>
      </c>
      <c r="H8" s="260">
        <v>0.98099999999999998</v>
      </c>
      <c r="I8" s="261">
        <v>0.90700000000000003</v>
      </c>
      <c r="J8" s="261">
        <v>0.85599999999999998</v>
      </c>
      <c r="K8" s="261">
        <v>0.86199999999999999</v>
      </c>
      <c r="L8" s="261">
        <v>0.85199999999999998</v>
      </c>
      <c r="M8" s="261">
        <v>0.82799999999999996</v>
      </c>
      <c r="N8" s="261">
        <v>0.8619</v>
      </c>
      <c r="O8" s="261">
        <v>0.86150000000000004</v>
      </c>
      <c r="P8" s="261">
        <v>0.85209999999999997</v>
      </c>
      <c r="Q8" s="261">
        <v>0.87</v>
      </c>
    </row>
    <row r="9" spans="2:18" ht="15.6" x14ac:dyDescent="0.3">
      <c r="B9" s="259" t="s">
        <v>357</v>
      </c>
      <c r="C9" s="243"/>
      <c r="D9" s="260">
        <v>0.42</v>
      </c>
      <c r="E9" s="260">
        <v>0.51</v>
      </c>
      <c r="F9" s="260">
        <v>0.56999999999999995</v>
      </c>
      <c r="G9" s="260">
        <v>0.63400000000000001</v>
      </c>
      <c r="H9" s="260">
        <v>0.73099999999999998</v>
      </c>
      <c r="I9" s="261">
        <v>0.80900000000000005</v>
      </c>
      <c r="J9" s="261">
        <v>0.88300000000000001</v>
      </c>
      <c r="K9" s="261">
        <v>0.871</v>
      </c>
      <c r="L9" s="261">
        <v>0.79200000000000004</v>
      </c>
      <c r="M9" s="261">
        <v>0.747</v>
      </c>
      <c r="N9" s="261">
        <v>0.70140000000000002</v>
      </c>
      <c r="O9" s="261">
        <v>0.82040000000000002</v>
      </c>
      <c r="P9" s="261">
        <v>0.82469999999999999</v>
      </c>
      <c r="Q9" s="261">
        <v>0.82530000000000003</v>
      </c>
    </row>
    <row r="10" spans="2:18" ht="15.6" x14ac:dyDescent="0.3">
      <c r="B10" s="259" t="s">
        <v>352</v>
      </c>
      <c r="C10" s="243"/>
      <c r="D10" s="260"/>
      <c r="E10" s="260"/>
      <c r="F10" s="260"/>
      <c r="G10" s="260"/>
      <c r="H10" s="260"/>
      <c r="I10" s="261"/>
      <c r="J10" s="261"/>
      <c r="K10" s="261">
        <v>0.434</v>
      </c>
      <c r="L10" s="261">
        <v>0.54100000000000004</v>
      </c>
      <c r="M10" s="261">
        <v>0.41100000000000003</v>
      </c>
      <c r="N10" s="261">
        <v>0.3649</v>
      </c>
      <c r="O10" s="261">
        <v>0.45319999999999999</v>
      </c>
      <c r="P10" s="261">
        <v>0.48020000000000002</v>
      </c>
      <c r="Q10" s="261">
        <v>0.42980000000000002</v>
      </c>
    </row>
    <row r="11" spans="2:18" ht="15.6" x14ac:dyDescent="0.3">
      <c r="B11" s="262" t="s">
        <v>550</v>
      </c>
      <c r="C11" s="258"/>
      <c r="D11" s="263"/>
      <c r="E11" s="263"/>
      <c r="F11" s="263"/>
      <c r="G11" s="263"/>
      <c r="H11" s="263"/>
      <c r="I11" s="263"/>
      <c r="J11" s="263"/>
      <c r="K11" s="263"/>
      <c r="L11" s="263"/>
      <c r="M11" s="263"/>
      <c r="N11" s="263"/>
      <c r="O11" s="263"/>
      <c r="P11" s="263"/>
      <c r="Q11" s="263"/>
    </row>
    <row r="12" spans="2:18" ht="15.6" x14ac:dyDescent="0.3">
      <c r="B12" s="293" t="s">
        <v>548</v>
      </c>
      <c r="C12" s="243"/>
      <c r="D12" s="264"/>
      <c r="E12" s="264"/>
      <c r="F12" s="264"/>
      <c r="G12" s="264"/>
      <c r="H12" s="264"/>
      <c r="I12" s="264"/>
      <c r="J12" s="265">
        <v>12.75</v>
      </c>
      <c r="K12" s="265">
        <v>13.29</v>
      </c>
      <c r="L12" s="265">
        <v>12.22</v>
      </c>
      <c r="M12" s="495" t="s">
        <v>691</v>
      </c>
      <c r="N12" s="265">
        <v>12.96</v>
      </c>
      <c r="O12" s="265">
        <v>14.22</v>
      </c>
      <c r="P12" s="265">
        <v>12.92</v>
      </c>
      <c r="Q12" s="265">
        <v>13.42</v>
      </c>
      <c r="R12" s="293" t="s">
        <v>548</v>
      </c>
    </row>
    <row r="13" spans="2:18" ht="15.6" x14ac:dyDescent="0.3">
      <c r="B13" s="293" t="s">
        <v>234</v>
      </c>
      <c r="C13" s="243"/>
      <c r="D13" s="264"/>
      <c r="E13" s="264"/>
      <c r="F13" s="264"/>
      <c r="G13" s="264"/>
      <c r="H13" s="264"/>
      <c r="I13" s="264"/>
      <c r="J13" s="265">
        <v>13.03</v>
      </c>
      <c r="K13" s="265">
        <v>13.15</v>
      </c>
      <c r="L13" s="265">
        <v>13.45</v>
      </c>
      <c r="M13" s="495" t="s">
        <v>692</v>
      </c>
      <c r="N13" s="265">
        <v>14.97</v>
      </c>
      <c r="O13" s="265">
        <v>11.84</v>
      </c>
      <c r="P13" s="265">
        <v>12.82</v>
      </c>
      <c r="Q13" s="265">
        <v>13.45</v>
      </c>
      <c r="R13" s="293" t="s">
        <v>234</v>
      </c>
    </row>
    <row r="14" spans="2:18" ht="15.6" x14ac:dyDescent="0.3">
      <c r="B14" s="293" t="s">
        <v>168</v>
      </c>
      <c r="C14" s="243"/>
      <c r="D14" s="264"/>
      <c r="E14" s="264"/>
      <c r="F14" s="264"/>
      <c r="G14" s="264"/>
      <c r="H14" s="264"/>
      <c r="I14" s="264"/>
      <c r="J14" s="265">
        <v>7.6</v>
      </c>
      <c r="K14" s="265">
        <v>7.51</v>
      </c>
      <c r="L14" s="265">
        <v>7.5</v>
      </c>
      <c r="M14" s="495" t="s">
        <v>693</v>
      </c>
      <c r="N14" s="265">
        <v>7.27</v>
      </c>
      <c r="O14" s="265">
        <v>6.68</v>
      </c>
      <c r="P14" s="265">
        <v>6.76</v>
      </c>
      <c r="Q14" s="265">
        <v>6.83</v>
      </c>
      <c r="R14" s="293" t="s">
        <v>168</v>
      </c>
    </row>
    <row r="15" spans="2:18" ht="15.6" x14ac:dyDescent="0.3">
      <c r="B15" s="293" t="s">
        <v>169</v>
      </c>
      <c r="C15" s="243"/>
      <c r="D15" s="264"/>
      <c r="E15" s="264"/>
      <c r="F15" s="264"/>
      <c r="G15" s="264"/>
      <c r="H15" s="264"/>
      <c r="I15" s="264"/>
      <c r="J15" s="265">
        <v>15.01</v>
      </c>
      <c r="K15" s="265">
        <v>15.12</v>
      </c>
      <c r="L15" s="265">
        <v>15.4</v>
      </c>
      <c r="M15" s="495" t="s">
        <v>694</v>
      </c>
      <c r="N15" s="265">
        <v>15.39</v>
      </c>
      <c r="O15" s="265">
        <v>15.18</v>
      </c>
      <c r="P15" s="265">
        <v>14.77</v>
      </c>
      <c r="Q15" s="265">
        <v>16.32</v>
      </c>
      <c r="R15" s="293" t="s">
        <v>169</v>
      </c>
    </row>
    <row r="16" spans="2:18" ht="15.6" x14ac:dyDescent="0.3">
      <c r="B16" s="293" t="s">
        <v>170</v>
      </c>
      <c r="C16" s="243"/>
      <c r="D16" s="264"/>
      <c r="E16" s="264"/>
      <c r="F16" s="264"/>
      <c r="G16" s="264"/>
      <c r="H16" s="264"/>
      <c r="I16" s="264"/>
      <c r="J16" s="265">
        <v>15.51</v>
      </c>
      <c r="K16" s="265">
        <v>14.4</v>
      </c>
      <c r="L16" s="265">
        <v>15.8</v>
      </c>
      <c r="M16" s="495" t="s">
        <v>695</v>
      </c>
      <c r="N16" s="265">
        <v>14.15</v>
      </c>
      <c r="O16" s="265">
        <v>12.38</v>
      </c>
      <c r="P16" s="265">
        <v>7.06</v>
      </c>
      <c r="Q16" s="265">
        <v>7.41</v>
      </c>
      <c r="R16" s="293" t="s">
        <v>170</v>
      </c>
    </row>
    <row r="17" spans="2:18" ht="15.6" x14ac:dyDescent="0.3">
      <c r="B17" s="293" t="s">
        <v>171</v>
      </c>
      <c r="C17" s="243"/>
      <c r="D17" s="264"/>
      <c r="E17" s="264"/>
      <c r="F17" s="264"/>
      <c r="G17" s="264"/>
      <c r="H17" s="264"/>
      <c r="I17" s="264"/>
      <c r="J17" s="265">
        <v>16.920000000000002</v>
      </c>
      <c r="K17" s="265">
        <v>20.38</v>
      </c>
      <c r="L17" s="265">
        <v>20.72</v>
      </c>
      <c r="M17" s="495" t="s">
        <v>696</v>
      </c>
      <c r="N17" s="265">
        <v>20.52</v>
      </c>
      <c r="O17" s="265">
        <v>20.190000000000001</v>
      </c>
      <c r="P17" s="265">
        <v>20.81</v>
      </c>
      <c r="Q17" s="265">
        <v>22.22</v>
      </c>
      <c r="R17" s="293" t="s">
        <v>171</v>
      </c>
    </row>
    <row r="18" spans="2:18" ht="15.6" x14ac:dyDescent="0.3">
      <c r="B18" s="293" t="s">
        <v>172</v>
      </c>
      <c r="C18" s="243"/>
      <c r="D18" s="264"/>
      <c r="E18" s="264"/>
      <c r="F18" s="264"/>
      <c r="G18" s="264"/>
      <c r="H18" s="264"/>
      <c r="I18" s="264"/>
      <c r="J18" s="265">
        <v>12.38</v>
      </c>
      <c r="K18" s="265">
        <v>12.05</v>
      </c>
      <c r="L18" s="265">
        <v>12.19</v>
      </c>
      <c r="M18" s="495" t="s">
        <v>697</v>
      </c>
      <c r="N18" s="265">
        <v>11.7</v>
      </c>
      <c r="O18" s="265">
        <v>12.93</v>
      </c>
      <c r="P18" s="265">
        <v>12.81</v>
      </c>
      <c r="Q18" s="265">
        <v>11.93</v>
      </c>
      <c r="R18" s="293" t="s">
        <v>172</v>
      </c>
    </row>
    <row r="19" spans="2:18" ht="15.6" x14ac:dyDescent="0.3">
      <c r="B19" s="293" t="s">
        <v>235</v>
      </c>
      <c r="C19" s="243"/>
      <c r="D19" s="264"/>
      <c r="E19" s="264"/>
      <c r="F19" s="264"/>
      <c r="G19" s="264"/>
      <c r="H19" s="264"/>
      <c r="I19" s="264"/>
      <c r="J19" s="265">
        <v>14.09</v>
      </c>
      <c r="K19" s="265">
        <v>15.17</v>
      </c>
      <c r="L19" s="265">
        <v>15.38</v>
      </c>
      <c r="M19" s="495" t="s">
        <v>698</v>
      </c>
      <c r="N19" s="265">
        <v>15.01</v>
      </c>
      <c r="O19" s="265">
        <v>14.47</v>
      </c>
      <c r="P19" s="265">
        <v>14.56</v>
      </c>
      <c r="Q19" s="265">
        <v>14.07</v>
      </c>
      <c r="R19" s="293" t="s">
        <v>235</v>
      </c>
    </row>
    <row r="20" spans="2:18" ht="15.6" x14ac:dyDescent="0.3">
      <c r="B20" s="293" t="s">
        <v>349</v>
      </c>
      <c r="C20" s="243"/>
      <c r="D20" s="264"/>
      <c r="E20" s="264"/>
      <c r="F20" s="264"/>
      <c r="G20" s="264"/>
      <c r="H20" s="264"/>
      <c r="I20" s="264"/>
      <c r="J20" s="265">
        <v>12.75</v>
      </c>
      <c r="K20" s="265">
        <v>13.29</v>
      </c>
      <c r="L20" s="265">
        <v>13.22</v>
      </c>
      <c r="M20" s="495" t="s">
        <v>691</v>
      </c>
      <c r="N20" s="265">
        <v>12.96</v>
      </c>
      <c r="O20" s="265">
        <v>14.22</v>
      </c>
      <c r="P20" s="265">
        <v>12.7</v>
      </c>
      <c r="Q20" s="265">
        <v>13.42</v>
      </c>
      <c r="R20" s="293" t="s">
        <v>349</v>
      </c>
    </row>
    <row r="21" spans="2:18" ht="15.6" x14ac:dyDescent="0.3">
      <c r="B21" s="293" t="s">
        <v>175</v>
      </c>
      <c r="C21" s="243"/>
      <c r="D21" s="264"/>
      <c r="E21" s="264"/>
      <c r="F21" s="264"/>
      <c r="G21" s="264"/>
      <c r="H21" s="264"/>
      <c r="I21" s="264"/>
      <c r="J21" s="265">
        <v>7.6</v>
      </c>
      <c r="K21" s="265">
        <v>7.51</v>
      </c>
      <c r="L21" s="265">
        <v>7.5</v>
      </c>
      <c r="M21" s="495" t="s">
        <v>693</v>
      </c>
      <c r="N21" s="265">
        <v>7.27</v>
      </c>
      <c r="O21" s="265">
        <v>6.68</v>
      </c>
      <c r="P21" s="265">
        <v>6.77</v>
      </c>
      <c r="Q21" s="265">
        <v>6.83</v>
      </c>
      <c r="R21" s="293" t="s">
        <v>175</v>
      </c>
    </row>
    <row r="22" spans="2:18" ht="15.6" x14ac:dyDescent="0.3">
      <c r="B22" s="293" t="s">
        <v>176</v>
      </c>
      <c r="C22" s="243"/>
      <c r="D22" s="264"/>
      <c r="E22" s="264"/>
      <c r="F22" s="264"/>
      <c r="G22" s="264"/>
      <c r="H22" s="264"/>
      <c r="I22" s="264"/>
      <c r="J22" s="265">
        <v>16.920000000000002</v>
      </c>
      <c r="K22" s="265">
        <v>20.38</v>
      </c>
      <c r="L22" s="265">
        <v>20.72</v>
      </c>
      <c r="M22" s="495" t="s">
        <v>696</v>
      </c>
      <c r="N22" s="265">
        <v>20.52</v>
      </c>
      <c r="O22" s="265">
        <v>20.190000000000001</v>
      </c>
      <c r="P22" s="265">
        <v>21.09</v>
      </c>
      <c r="Q22" s="265">
        <v>22.22</v>
      </c>
      <c r="R22" s="293" t="s">
        <v>176</v>
      </c>
    </row>
    <row r="23" spans="2:18" ht="15.6" x14ac:dyDescent="0.3">
      <c r="B23" s="293" t="s">
        <v>551</v>
      </c>
      <c r="C23" s="243"/>
      <c r="D23" s="264"/>
      <c r="E23" s="264"/>
      <c r="F23" s="264"/>
      <c r="G23" s="264"/>
      <c r="H23" s="264"/>
      <c r="I23" s="264"/>
      <c r="J23" s="265">
        <v>7.99</v>
      </c>
      <c r="K23" s="265">
        <v>7.77</v>
      </c>
      <c r="L23" s="265">
        <v>7.9</v>
      </c>
      <c r="M23" s="495" t="s">
        <v>699</v>
      </c>
      <c r="N23" s="265">
        <v>7.87</v>
      </c>
      <c r="O23" s="265">
        <v>7.62</v>
      </c>
      <c r="P23" s="265">
        <v>7.7</v>
      </c>
      <c r="Q23" s="265">
        <v>7.51</v>
      </c>
      <c r="R23" s="293" t="s">
        <v>551</v>
      </c>
    </row>
    <row r="24" spans="2:18" ht="15.6" x14ac:dyDescent="0.3">
      <c r="B24" s="293" t="s">
        <v>237</v>
      </c>
      <c r="C24" s="243"/>
      <c r="D24" s="264"/>
      <c r="E24" s="264"/>
      <c r="F24" s="264"/>
      <c r="G24" s="264"/>
      <c r="H24" s="264"/>
      <c r="I24" s="264"/>
      <c r="J24" s="265">
        <v>18.03</v>
      </c>
      <c r="K24" s="265">
        <v>20.23</v>
      </c>
      <c r="L24" s="265">
        <v>20.89</v>
      </c>
      <c r="M24" s="495" t="s">
        <v>700</v>
      </c>
      <c r="N24" s="265">
        <v>21.13</v>
      </c>
      <c r="O24" s="265">
        <v>16.47</v>
      </c>
      <c r="P24" s="265">
        <v>15.44</v>
      </c>
      <c r="Q24" s="265">
        <v>17.79</v>
      </c>
      <c r="R24" s="293" t="s">
        <v>237</v>
      </c>
    </row>
    <row r="25" spans="2:18" ht="15.6" x14ac:dyDescent="0.3">
      <c r="B25" s="293" t="s">
        <v>615</v>
      </c>
      <c r="C25" s="243"/>
      <c r="D25" s="264"/>
      <c r="E25" s="264"/>
      <c r="F25" s="264"/>
      <c r="G25" s="264"/>
      <c r="H25" s="264"/>
      <c r="I25" s="264"/>
      <c r="J25" s="265">
        <v>16.09</v>
      </c>
      <c r="K25" s="265">
        <v>15.81</v>
      </c>
      <c r="L25" s="265">
        <v>15.93</v>
      </c>
      <c r="M25" s="495" t="s">
        <v>701</v>
      </c>
      <c r="N25" s="265">
        <v>18.79</v>
      </c>
      <c r="O25" s="265">
        <v>13.57</v>
      </c>
      <c r="P25" s="265">
        <v>13.34</v>
      </c>
      <c r="Q25" s="265">
        <v>14.56</v>
      </c>
      <c r="R25" s="293" t="s">
        <v>615</v>
      </c>
    </row>
    <row r="26" spans="2:18" ht="15.6" x14ac:dyDescent="0.3">
      <c r="B26" s="293" t="s">
        <v>239</v>
      </c>
      <c r="C26" s="243"/>
      <c r="D26" s="264"/>
      <c r="E26" s="264"/>
      <c r="F26" s="264"/>
      <c r="G26" s="264"/>
      <c r="H26" s="264"/>
      <c r="I26" s="264"/>
      <c r="J26" s="265">
        <v>16.920000000000002</v>
      </c>
      <c r="K26" s="265">
        <v>20.38</v>
      </c>
      <c r="L26" s="265">
        <v>20.72</v>
      </c>
      <c r="M26" s="495" t="s">
        <v>696</v>
      </c>
      <c r="N26" s="265">
        <v>20.52</v>
      </c>
      <c r="O26" s="265">
        <v>20.190000000000001</v>
      </c>
      <c r="P26" s="265">
        <v>20.99</v>
      </c>
      <c r="Q26" s="265">
        <v>22.22</v>
      </c>
      <c r="R26" s="293" t="s">
        <v>239</v>
      </c>
    </row>
    <row r="27" spans="2:18" ht="15.6" x14ac:dyDescent="0.3">
      <c r="B27" s="293" t="s">
        <v>240</v>
      </c>
      <c r="C27" s="243"/>
      <c r="D27" s="264"/>
      <c r="E27" s="264"/>
      <c r="F27" s="264"/>
      <c r="G27" s="264"/>
      <c r="H27" s="264"/>
      <c r="I27" s="264"/>
      <c r="J27" s="265">
        <v>7.99</v>
      </c>
      <c r="K27" s="265">
        <v>7.77</v>
      </c>
      <c r="L27" s="265">
        <v>7.9</v>
      </c>
      <c r="M27" s="265">
        <v>8.02</v>
      </c>
      <c r="N27" s="265">
        <v>7.87</v>
      </c>
      <c r="O27" s="265">
        <v>7.62</v>
      </c>
      <c r="P27" s="265">
        <v>7.71</v>
      </c>
      <c r="Q27" s="265">
        <v>7.51</v>
      </c>
      <c r="R27" s="293" t="s">
        <v>240</v>
      </c>
    </row>
    <row r="28" spans="2:18" ht="15.6" x14ac:dyDescent="0.3">
      <c r="B28" s="293" t="s">
        <v>241</v>
      </c>
      <c r="C28" s="243"/>
      <c r="D28" s="264"/>
      <c r="E28" s="264"/>
      <c r="F28" s="264"/>
      <c r="G28" s="264"/>
      <c r="H28" s="264"/>
      <c r="I28" s="264"/>
      <c r="J28" s="265">
        <v>12.75</v>
      </c>
      <c r="K28" s="265">
        <v>13.29</v>
      </c>
      <c r="L28" s="265">
        <v>13.22</v>
      </c>
      <c r="M28" s="495" t="s">
        <v>691</v>
      </c>
      <c r="N28" s="265">
        <v>12.96</v>
      </c>
      <c r="O28" s="265">
        <v>14.22</v>
      </c>
      <c r="P28" s="265">
        <v>12.39</v>
      </c>
      <c r="Q28" s="265">
        <v>13.42</v>
      </c>
      <c r="R28" s="293" t="s">
        <v>241</v>
      </c>
    </row>
    <row r="29" spans="2:18" ht="15.6" x14ac:dyDescent="0.3">
      <c r="B29" s="293" t="s">
        <v>183</v>
      </c>
      <c r="C29" s="243"/>
      <c r="D29" s="264"/>
      <c r="E29" s="264"/>
      <c r="F29" s="264"/>
      <c r="G29" s="264"/>
      <c r="H29" s="264"/>
      <c r="I29" s="264"/>
      <c r="J29" s="265">
        <v>8.85</v>
      </c>
      <c r="K29" s="265">
        <v>8.91</v>
      </c>
      <c r="L29" s="265">
        <v>8.8800000000000008</v>
      </c>
      <c r="M29" s="495" t="s">
        <v>702</v>
      </c>
      <c r="N29" s="265">
        <v>8.65</v>
      </c>
      <c r="O29" s="265">
        <v>7.9</v>
      </c>
      <c r="P29" s="265">
        <v>7.77</v>
      </c>
      <c r="Q29" s="265">
        <v>7.86</v>
      </c>
      <c r="R29" s="293" t="s">
        <v>183</v>
      </c>
    </row>
    <row r="30" spans="2:18" ht="15.6" x14ac:dyDescent="0.3">
      <c r="B30" s="293" t="s">
        <v>184</v>
      </c>
      <c r="C30" s="243"/>
      <c r="D30" s="264"/>
      <c r="E30" s="264"/>
      <c r="F30" s="264"/>
      <c r="G30" s="264"/>
      <c r="H30" s="264"/>
      <c r="I30" s="264"/>
      <c r="J30" s="265">
        <v>12.38</v>
      </c>
      <c r="K30" s="265">
        <v>12.05</v>
      </c>
      <c r="L30" s="265">
        <v>12.19</v>
      </c>
      <c r="M30" s="495" t="s">
        <v>697</v>
      </c>
      <c r="N30" s="265">
        <v>11.7</v>
      </c>
      <c r="O30" s="265">
        <v>12.93</v>
      </c>
      <c r="P30" s="265">
        <v>12.8</v>
      </c>
      <c r="Q30" s="265">
        <v>11.93</v>
      </c>
      <c r="R30" s="293" t="s">
        <v>184</v>
      </c>
    </row>
    <row r="31" spans="2:18" ht="15.6" x14ac:dyDescent="0.3">
      <c r="B31" s="293" t="s">
        <v>185</v>
      </c>
      <c r="C31" s="243"/>
      <c r="D31" s="264"/>
      <c r="E31" s="264"/>
      <c r="F31" s="264"/>
      <c r="G31" s="264"/>
      <c r="H31" s="264"/>
      <c r="I31" s="264"/>
      <c r="J31" s="265">
        <v>179.47</v>
      </c>
      <c r="K31" s="265">
        <v>165.78</v>
      </c>
      <c r="L31" s="265">
        <v>160.16999999999999</v>
      </c>
      <c r="M31" s="495">
        <v>89.43</v>
      </c>
      <c r="N31" s="265">
        <v>205.01</v>
      </c>
      <c r="O31" s="265">
        <v>208.58</v>
      </c>
      <c r="P31" s="265">
        <v>162.97999999999999</v>
      </c>
      <c r="Q31" s="265">
        <v>131.61000000000001</v>
      </c>
      <c r="R31" s="293" t="s">
        <v>185</v>
      </c>
    </row>
    <row r="32" spans="2:18" ht="15.6" x14ac:dyDescent="0.3">
      <c r="B32" s="293" t="s">
        <v>553</v>
      </c>
      <c r="C32" s="243"/>
      <c r="D32" s="264"/>
      <c r="E32" s="264"/>
      <c r="F32" s="264"/>
      <c r="G32" s="264"/>
      <c r="H32" s="264"/>
      <c r="I32" s="264"/>
      <c r="J32" s="265">
        <v>12.38</v>
      </c>
      <c r="K32" s="265">
        <v>12.05</v>
      </c>
      <c r="L32" s="265">
        <v>12.19</v>
      </c>
      <c r="M32" s="495" t="s">
        <v>697</v>
      </c>
      <c r="N32" s="265">
        <v>11.7</v>
      </c>
      <c r="O32" s="265">
        <v>12.93</v>
      </c>
      <c r="P32" s="265">
        <v>12.52</v>
      </c>
      <c r="Q32" s="265">
        <v>11.93</v>
      </c>
      <c r="R32" s="293" t="s">
        <v>553</v>
      </c>
    </row>
    <row r="33" spans="2:18" ht="15.6" x14ac:dyDescent="0.3">
      <c r="B33" s="293" t="s">
        <v>187</v>
      </c>
      <c r="C33" s="243"/>
      <c r="D33" s="264"/>
      <c r="E33" s="264"/>
      <c r="F33" s="264"/>
      <c r="G33" s="264"/>
      <c r="H33" s="264"/>
      <c r="I33" s="264"/>
      <c r="J33" s="265">
        <v>51.46</v>
      </c>
      <c r="K33" s="265">
        <v>57.91</v>
      </c>
      <c r="L33" s="265">
        <v>63.95</v>
      </c>
      <c r="M33" s="495" t="s">
        <v>703</v>
      </c>
      <c r="N33" s="265">
        <v>57.09</v>
      </c>
      <c r="O33" s="265">
        <v>48.96</v>
      </c>
      <c r="P33" s="265">
        <v>40.43</v>
      </c>
      <c r="Q33" s="265">
        <v>55.02</v>
      </c>
      <c r="R33" s="293" t="s">
        <v>187</v>
      </c>
    </row>
    <row r="34" spans="2:18" ht="15.6" x14ac:dyDescent="0.3">
      <c r="B34" s="293" t="s">
        <v>188</v>
      </c>
      <c r="C34" s="243"/>
      <c r="D34" s="264"/>
      <c r="E34" s="264"/>
      <c r="F34" s="264"/>
      <c r="G34" s="264"/>
      <c r="H34" s="264"/>
      <c r="I34" s="264"/>
      <c r="J34" s="265">
        <v>15.51</v>
      </c>
      <c r="K34" s="265">
        <v>14.4</v>
      </c>
      <c r="L34" s="265">
        <v>15.8</v>
      </c>
      <c r="M34" s="495" t="s">
        <v>695</v>
      </c>
      <c r="N34" s="265">
        <v>14.15</v>
      </c>
      <c r="O34" s="265">
        <v>12.38</v>
      </c>
      <c r="P34" s="265">
        <v>7.37</v>
      </c>
      <c r="Q34" s="265">
        <v>7.41</v>
      </c>
      <c r="R34" s="293" t="s">
        <v>188</v>
      </c>
    </row>
    <row r="35" spans="2:18" ht="15.6" x14ac:dyDescent="0.3">
      <c r="B35" s="293" t="s">
        <v>243</v>
      </c>
      <c r="C35" s="243"/>
      <c r="D35" s="264"/>
      <c r="E35" s="264"/>
      <c r="F35" s="264"/>
      <c r="G35" s="264"/>
      <c r="H35" s="264"/>
      <c r="I35" s="264"/>
      <c r="J35" s="265">
        <v>9.93</v>
      </c>
      <c r="K35" s="265">
        <v>9.9499999999999993</v>
      </c>
      <c r="L35" s="265">
        <v>10.16</v>
      </c>
      <c r="M35" s="495" t="s">
        <v>704</v>
      </c>
      <c r="N35" s="265">
        <v>11.93</v>
      </c>
      <c r="O35" s="265">
        <v>10.130000000000001</v>
      </c>
      <c r="P35" s="265">
        <v>10.81</v>
      </c>
      <c r="Q35" s="265">
        <v>11.43</v>
      </c>
      <c r="R35" s="293" t="s">
        <v>243</v>
      </c>
    </row>
    <row r="36" spans="2:18" ht="15.6" x14ac:dyDescent="0.3">
      <c r="B36" s="293" t="s">
        <v>554</v>
      </c>
      <c r="C36" s="243"/>
      <c r="D36" s="264"/>
      <c r="E36" s="264"/>
      <c r="F36" s="264"/>
      <c r="G36" s="264"/>
      <c r="H36" s="264"/>
      <c r="I36" s="264"/>
      <c r="J36" s="265">
        <v>12.38</v>
      </c>
      <c r="K36" s="265">
        <v>12.05</v>
      </c>
      <c r="L36" s="265">
        <v>12.19</v>
      </c>
      <c r="M36" s="495" t="s">
        <v>697</v>
      </c>
      <c r="N36" s="265">
        <v>11.7</v>
      </c>
      <c r="O36" s="265">
        <v>12.93</v>
      </c>
      <c r="P36" s="265">
        <v>13.08</v>
      </c>
      <c r="Q36" s="265">
        <v>11.93</v>
      </c>
      <c r="R36" s="293" t="s">
        <v>554</v>
      </c>
    </row>
    <row r="37" spans="2:18" ht="15.6" x14ac:dyDescent="0.3">
      <c r="B37" s="293" t="s">
        <v>406</v>
      </c>
      <c r="C37" s="243"/>
      <c r="D37" s="264"/>
      <c r="E37" s="264"/>
      <c r="F37" s="264"/>
      <c r="G37" s="264"/>
      <c r="H37" s="264"/>
      <c r="I37" s="264"/>
      <c r="J37" s="265">
        <v>179.47</v>
      </c>
      <c r="K37" s="265">
        <v>165.79</v>
      </c>
      <c r="L37" s="265">
        <v>160.16999999999999</v>
      </c>
      <c r="M37" s="495">
        <v>89.43</v>
      </c>
      <c r="N37" s="265">
        <v>205.01</v>
      </c>
      <c r="O37" s="265">
        <v>208.58</v>
      </c>
      <c r="P37" s="265">
        <v>162.03</v>
      </c>
      <c r="Q37" s="265">
        <v>131.61000000000001</v>
      </c>
      <c r="R37" s="293" t="s">
        <v>406</v>
      </c>
    </row>
    <row r="38" spans="2:18" ht="15.6" x14ac:dyDescent="0.3">
      <c r="B38" s="293" t="s">
        <v>346</v>
      </c>
      <c r="C38" s="243"/>
      <c r="D38" s="264"/>
      <c r="E38" s="264"/>
      <c r="F38" s="264"/>
      <c r="G38" s="264"/>
      <c r="H38" s="264"/>
      <c r="I38" s="264"/>
      <c r="J38" s="265">
        <v>12.75</v>
      </c>
      <c r="K38" s="265">
        <v>13.29</v>
      </c>
      <c r="L38" s="265">
        <v>13.22</v>
      </c>
      <c r="M38" s="495" t="s">
        <v>691</v>
      </c>
      <c r="N38" s="265">
        <v>12.96</v>
      </c>
      <c r="O38" s="265">
        <v>14.22</v>
      </c>
      <c r="P38" s="265">
        <v>12.86</v>
      </c>
      <c r="Q38" s="265">
        <v>13.42</v>
      </c>
      <c r="R38" s="293" t="s">
        <v>346</v>
      </c>
    </row>
    <row r="39" spans="2:18" ht="15.6" x14ac:dyDescent="0.3">
      <c r="B39" s="293" t="s">
        <v>555</v>
      </c>
      <c r="C39" s="243"/>
      <c r="D39" s="264"/>
      <c r="E39" s="264"/>
      <c r="F39" s="264"/>
      <c r="G39" s="264"/>
      <c r="H39" s="264"/>
      <c r="I39" s="264"/>
      <c r="J39" s="265">
        <v>12.38</v>
      </c>
      <c r="K39" s="265">
        <v>12.05</v>
      </c>
      <c r="L39" s="265">
        <v>12.19</v>
      </c>
      <c r="M39" s="495" t="s">
        <v>697</v>
      </c>
      <c r="N39" s="265">
        <v>11.7</v>
      </c>
      <c r="O39" s="265">
        <v>12.93</v>
      </c>
      <c r="P39" s="265">
        <v>12.74</v>
      </c>
      <c r="Q39" s="265">
        <v>11.93</v>
      </c>
      <c r="R39" s="293" t="s">
        <v>555</v>
      </c>
    </row>
    <row r="40" spans="2:18" ht="15.6" x14ac:dyDescent="0.3">
      <c r="B40" s="293" t="s">
        <v>245</v>
      </c>
      <c r="C40" s="243"/>
      <c r="D40" s="264"/>
      <c r="E40" s="264"/>
      <c r="F40" s="264"/>
      <c r="G40" s="264"/>
      <c r="H40" s="264"/>
      <c r="I40" s="264"/>
      <c r="J40" s="265">
        <v>12.38</v>
      </c>
      <c r="K40" s="265">
        <v>12.05</v>
      </c>
      <c r="L40" s="265">
        <v>12.19</v>
      </c>
      <c r="M40" s="495" t="s">
        <v>697</v>
      </c>
      <c r="N40" s="265">
        <v>11.7</v>
      </c>
      <c r="O40" s="265">
        <v>12.93</v>
      </c>
      <c r="P40" s="265">
        <v>12.89</v>
      </c>
      <c r="Q40" s="265">
        <v>11.93</v>
      </c>
      <c r="R40" s="293" t="s">
        <v>245</v>
      </c>
    </row>
    <row r="41" spans="2:18" ht="15.6" x14ac:dyDescent="0.3">
      <c r="B41" s="262" t="s">
        <v>556</v>
      </c>
      <c r="C41" s="258"/>
      <c r="D41" s="258"/>
      <c r="E41" s="258"/>
      <c r="F41" s="258"/>
      <c r="G41" s="258"/>
      <c r="H41" s="258"/>
      <c r="I41" s="258"/>
      <c r="J41" s="266"/>
      <c r="K41" s="266"/>
      <c r="L41" s="266"/>
      <c r="M41" s="266"/>
      <c r="N41" s="266"/>
      <c r="O41" s="266"/>
      <c r="P41" s="266"/>
      <c r="Q41" s="266"/>
    </row>
    <row r="42" spans="2:18" ht="15.6" x14ac:dyDescent="0.3">
      <c r="B42" s="293" t="s">
        <v>548</v>
      </c>
      <c r="C42" s="243"/>
      <c r="D42" s="264"/>
      <c r="E42" s="264"/>
      <c r="F42" s="264"/>
      <c r="G42" s="264"/>
      <c r="H42" s="264"/>
      <c r="I42" s="264"/>
      <c r="J42" s="265">
        <v>1.1200000000000001</v>
      </c>
      <c r="K42" s="265">
        <v>0.92</v>
      </c>
      <c r="L42" s="265">
        <v>0.88</v>
      </c>
      <c r="M42" s="265">
        <v>0.89</v>
      </c>
      <c r="N42" s="265">
        <v>1.63</v>
      </c>
      <c r="O42" s="265">
        <v>1.9</v>
      </c>
      <c r="P42" s="265">
        <v>1.77</v>
      </c>
      <c r="Q42" s="265">
        <v>1.73</v>
      </c>
      <c r="R42" s="293" t="s">
        <v>548</v>
      </c>
    </row>
    <row r="43" spans="2:18" ht="15.6" x14ac:dyDescent="0.3">
      <c r="B43" s="293" t="s">
        <v>234</v>
      </c>
      <c r="C43" s="243"/>
      <c r="D43" s="264"/>
      <c r="E43" s="264"/>
      <c r="F43" s="264"/>
      <c r="G43" s="264"/>
      <c r="H43" s="264"/>
      <c r="I43" s="264"/>
      <c r="J43" s="265">
        <v>1.22</v>
      </c>
      <c r="K43" s="265">
        <v>0.99</v>
      </c>
      <c r="L43" s="265">
        <v>1.1100000000000001</v>
      </c>
      <c r="M43" s="265">
        <v>1.1100000000000001</v>
      </c>
      <c r="N43" s="265">
        <v>2.16</v>
      </c>
      <c r="O43" s="265">
        <v>1.71</v>
      </c>
      <c r="P43" s="265">
        <v>1.77</v>
      </c>
      <c r="Q43" s="265">
        <v>1.94</v>
      </c>
      <c r="R43" s="293" t="s">
        <v>234</v>
      </c>
    </row>
    <row r="44" spans="2:18" ht="15.6" x14ac:dyDescent="0.3">
      <c r="B44" s="293" t="s">
        <v>168</v>
      </c>
      <c r="C44" s="243"/>
      <c r="D44" s="264"/>
      <c r="E44" s="264"/>
      <c r="F44" s="264"/>
      <c r="G44" s="264"/>
      <c r="H44" s="264"/>
      <c r="I44" s="264"/>
      <c r="J44" s="265">
        <v>0.68</v>
      </c>
      <c r="K44" s="265">
        <v>0.56000000000000005</v>
      </c>
      <c r="L44" s="265">
        <v>0.51</v>
      </c>
      <c r="M44" s="265">
        <v>0.52</v>
      </c>
      <c r="N44" s="265">
        <v>0.92</v>
      </c>
      <c r="O44" s="265">
        <v>0.92</v>
      </c>
      <c r="P44" s="265">
        <v>0.91</v>
      </c>
      <c r="Q44" s="265">
        <v>0.9</v>
      </c>
      <c r="R44" s="293" t="s">
        <v>168</v>
      </c>
    </row>
    <row r="45" spans="2:18" ht="15.6" x14ac:dyDescent="0.3">
      <c r="B45" s="293" t="s">
        <v>169</v>
      </c>
      <c r="C45" s="243"/>
      <c r="D45" s="264"/>
      <c r="E45" s="264"/>
      <c r="F45" s="264"/>
      <c r="G45" s="264"/>
      <c r="H45" s="264"/>
      <c r="I45" s="264"/>
      <c r="J45" s="265">
        <v>1.18</v>
      </c>
      <c r="K45" s="265">
        <v>1.05</v>
      </c>
      <c r="L45" s="265">
        <v>0.99</v>
      </c>
      <c r="M45" s="265">
        <v>0.93</v>
      </c>
      <c r="N45" s="265">
        <v>1.76</v>
      </c>
      <c r="O45" s="265">
        <v>1.73</v>
      </c>
      <c r="P45" s="265">
        <v>1.84</v>
      </c>
      <c r="Q45" s="265">
        <v>1.91</v>
      </c>
      <c r="R45" s="293" t="s">
        <v>169</v>
      </c>
    </row>
    <row r="46" spans="2:18" ht="15.6" x14ac:dyDescent="0.3">
      <c r="B46" s="293" t="s">
        <v>170</v>
      </c>
      <c r="C46" s="243"/>
      <c r="D46" s="264"/>
      <c r="E46" s="264"/>
      <c r="F46" s="264"/>
      <c r="G46" s="264"/>
      <c r="H46" s="264"/>
      <c r="I46" s="264"/>
      <c r="J46" s="265">
        <v>0.78</v>
      </c>
      <c r="K46" s="265">
        <v>0.79</v>
      </c>
      <c r="L46" s="265">
        <v>0.91</v>
      </c>
      <c r="M46" s="265">
        <v>0.87</v>
      </c>
      <c r="N46" s="265">
        <v>1.4</v>
      </c>
      <c r="O46" s="265">
        <v>1.45</v>
      </c>
      <c r="P46" s="265">
        <v>1.08</v>
      </c>
      <c r="Q46" s="265">
        <v>1.1299999999999999</v>
      </c>
      <c r="R46" s="293" t="s">
        <v>170</v>
      </c>
    </row>
    <row r="47" spans="2:18" ht="15.6" x14ac:dyDescent="0.3">
      <c r="B47" s="293" t="s">
        <v>171</v>
      </c>
      <c r="C47" s="243"/>
      <c r="D47" s="264"/>
      <c r="E47" s="264"/>
      <c r="F47" s="264"/>
      <c r="G47" s="264"/>
      <c r="H47" s="264"/>
      <c r="I47" s="264"/>
      <c r="J47" s="265">
        <v>1.28</v>
      </c>
      <c r="K47" s="265">
        <v>1.24</v>
      </c>
      <c r="L47" s="265">
        <v>1.18</v>
      </c>
      <c r="M47" s="265">
        <v>1.21</v>
      </c>
      <c r="N47" s="265">
        <v>1.8</v>
      </c>
      <c r="O47" s="265">
        <v>2.2000000000000002</v>
      </c>
      <c r="P47" s="265">
        <v>1.88</v>
      </c>
      <c r="Q47" s="265">
        <v>2.64</v>
      </c>
      <c r="R47" s="293" t="s">
        <v>171</v>
      </c>
    </row>
    <row r="48" spans="2:18" ht="15.6" x14ac:dyDescent="0.3">
      <c r="B48" s="293" t="s">
        <v>172</v>
      </c>
      <c r="C48" s="243"/>
      <c r="D48" s="264"/>
      <c r="E48" s="264"/>
      <c r="F48" s="264"/>
      <c r="G48" s="264"/>
      <c r="H48" s="264"/>
      <c r="I48" s="264"/>
      <c r="J48" s="265">
        <v>0.94</v>
      </c>
      <c r="K48" s="265">
        <v>0.8</v>
      </c>
      <c r="L48" s="265">
        <v>0.79</v>
      </c>
      <c r="M48" s="265">
        <v>0.76</v>
      </c>
      <c r="N48" s="265">
        <v>1.39</v>
      </c>
      <c r="O48" s="265">
        <v>1.96</v>
      </c>
      <c r="P48" s="265">
        <v>1.58</v>
      </c>
      <c r="Q48" s="265">
        <v>1.66</v>
      </c>
      <c r="R48" s="293" t="s">
        <v>172</v>
      </c>
    </row>
    <row r="49" spans="2:18" ht="15.6" x14ac:dyDescent="0.3">
      <c r="B49" s="293" t="s">
        <v>235</v>
      </c>
      <c r="C49" s="243"/>
      <c r="D49" s="264"/>
      <c r="E49" s="264"/>
      <c r="F49" s="264"/>
      <c r="G49" s="264"/>
      <c r="H49" s="264"/>
      <c r="I49" s="264"/>
      <c r="J49" s="265">
        <v>1.07</v>
      </c>
      <c r="K49" s="265">
        <v>0.97</v>
      </c>
      <c r="L49" s="265">
        <v>0.94</v>
      </c>
      <c r="M49" s="265">
        <v>0.93</v>
      </c>
      <c r="N49" s="265">
        <v>1.54</v>
      </c>
      <c r="O49" s="265">
        <v>2.0099999999999998</v>
      </c>
      <c r="P49" s="265">
        <v>1.65</v>
      </c>
      <c r="Q49" s="265">
        <v>1.86</v>
      </c>
      <c r="R49" s="293" t="s">
        <v>235</v>
      </c>
    </row>
    <row r="50" spans="2:18" ht="15.6" x14ac:dyDescent="0.3">
      <c r="B50" s="293" t="s">
        <v>349</v>
      </c>
      <c r="C50" s="243"/>
      <c r="D50" s="264"/>
      <c r="E50" s="264"/>
      <c r="F50" s="264"/>
      <c r="G50" s="264"/>
      <c r="H50" s="264"/>
      <c r="I50" s="264"/>
      <c r="J50" s="265">
        <v>1.1200000000000001</v>
      </c>
      <c r="K50" s="265">
        <v>0.92</v>
      </c>
      <c r="L50" s="265">
        <v>0.88</v>
      </c>
      <c r="M50" s="265">
        <v>0.89</v>
      </c>
      <c r="N50" s="265">
        <v>1.63</v>
      </c>
      <c r="O50" s="265">
        <v>1.9</v>
      </c>
      <c r="P50" s="265">
        <v>1.74</v>
      </c>
      <c r="Q50" s="265">
        <v>1.73</v>
      </c>
      <c r="R50" s="293" t="s">
        <v>349</v>
      </c>
    </row>
    <row r="51" spans="2:18" ht="15.6" x14ac:dyDescent="0.3">
      <c r="B51" s="293" t="s">
        <v>175</v>
      </c>
      <c r="C51" s="243"/>
      <c r="D51" s="264"/>
      <c r="E51" s="264"/>
      <c r="F51" s="264"/>
      <c r="G51" s="264"/>
      <c r="H51" s="264"/>
      <c r="I51" s="264"/>
      <c r="J51" s="265">
        <v>0.68</v>
      </c>
      <c r="K51" s="265">
        <v>0.56000000000000005</v>
      </c>
      <c r="L51" s="265">
        <v>0.51</v>
      </c>
      <c r="M51" s="265">
        <v>0.52</v>
      </c>
      <c r="N51" s="265">
        <v>0.92</v>
      </c>
      <c r="O51" s="265">
        <v>0.92</v>
      </c>
      <c r="P51" s="265">
        <v>0.91</v>
      </c>
      <c r="Q51" s="265">
        <v>0.9</v>
      </c>
      <c r="R51" s="293" t="s">
        <v>175</v>
      </c>
    </row>
    <row r="52" spans="2:18" ht="15.6" x14ac:dyDescent="0.3">
      <c r="B52" s="293" t="s">
        <v>176</v>
      </c>
      <c r="C52" s="243"/>
      <c r="D52" s="264"/>
      <c r="E52" s="264"/>
      <c r="F52" s="264"/>
      <c r="G52" s="264"/>
      <c r="H52" s="264"/>
      <c r="I52" s="264"/>
      <c r="J52" s="265">
        <v>1.28</v>
      </c>
      <c r="K52" s="265">
        <v>1.25</v>
      </c>
      <c r="L52" s="265">
        <v>1.18</v>
      </c>
      <c r="M52" s="265">
        <v>1.21</v>
      </c>
      <c r="N52" s="265">
        <v>1.8</v>
      </c>
      <c r="O52" s="265">
        <v>2.2000000000000002</v>
      </c>
      <c r="P52" s="265">
        <v>1.91</v>
      </c>
      <c r="Q52" s="265">
        <v>2.64</v>
      </c>
      <c r="R52" s="293" t="s">
        <v>176</v>
      </c>
    </row>
    <row r="53" spans="2:18" ht="15.6" x14ac:dyDescent="0.3">
      <c r="B53" s="293" t="s">
        <v>551</v>
      </c>
      <c r="C53" s="243"/>
      <c r="D53" s="264"/>
      <c r="E53" s="264"/>
      <c r="F53" s="264"/>
      <c r="G53" s="264"/>
      <c r="H53" s="264"/>
      <c r="I53" s="264"/>
      <c r="J53" s="265">
        <v>0.73</v>
      </c>
      <c r="K53" s="265">
        <v>0.57999999999999996</v>
      </c>
      <c r="L53" s="265">
        <v>0.53</v>
      </c>
      <c r="M53" s="265">
        <v>0.51</v>
      </c>
      <c r="N53" s="265">
        <v>0.98</v>
      </c>
      <c r="O53" s="265">
        <v>0.95</v>
      </c>
      <c r="P53" s="265">
        <v>0.95</v>
      </c>
      <c r="Q53" s="265">
        <v>0.91</v>
      </c>
      <c r="R53" s="293" t="s">
        <v>551</v>
      </c>
    </row>
    <row r="54" spans="2:18" ht="15.6" x14ac:dyDescent="0.3">
      <c r="B54" s="293" t="s">
        <v>237</v>
      </c>
      <c r="C54" s="243"/>
      <c r="D54" s="264"/>
      <c r="E54" s="264"/>
      <c r="F54" s="264"/>
      <c r="G54" s="264"/>
      <c r="H54" s="264"/>
      <c r="I54" s="264"/>
      <c r="J54" s="265">
        <v>1.47</v>
      </c>
      <c r="K54" s="265">
        <v>1.4</v>
      </c>
      <c r="L54" s="265">
        <v>1.28</v>
      </c>
      <c r="M54" s="265">
        <v>1.18</v>
      </c>
      <c r="N54" s="265">
        <v>2.33</v>
      </c>
      <c r="O54" s="265">
        <v>1.83</v>
      </c>
      <c r="P54" s="265">
        <v>1.88</v>
      </c>
      <c r="Q54" s="265">
        <v>2.0499999999999998</v>
      </c>
      <c r="R54" s="293" t="s">
        <v>237</v>
      </c>
    </row>
    <row r="55" spans="2:18" ht="15.6" x14ac:dyDescent="0.3">
      <c r="B55" s="293" t="s">
        <v>552</v>
      </c>
      <c r="C55" s="243"/>
      <c r="D55" s="264"/>
      <c r="E55" s="264"/>
      <c r="F55" s="264"/>
      <c r="G55" s="264"/>
      <c r="H55" s="264"/>
      <c r="I55" s="264"/>
      <c r="J55" s="265">
        <v>1.32</v>
      </c>
      <c r="K55" s="265">
        <v>1.04</v>
      </c>
      <c r="L55" s="265">
        <v>1.2</v>
      </c>
      <c r="M55" s="265">
        <v>1.23</v>
      </c>
      <c r="N55" s="265">
        <v>2.31</v>
      </c>
      <c r="O55" s="265">
        <v>1.81</v>
      </c>
      <c r="P55" s="265">
        <v>0.66</v>
      </c>
      <c r="Q55" s="265">
        <v>2.0299999999999998</v>
      </c>
      <c r="R55" s="293" t="s">
        <v>615</v>
      </c>
    </row>
    <row r="56" spans="2:18" ht="15.6" x14ac:dyDescent="0.3">
      <c r="B56" s="293" t="s">
        <v>239</v>
      </c>
      <c r="C56" s="243"/>
      <c r="D56" s="264"/>
      <c r="E56" s="264"/>
      <c r="F56" s="264"/>
      <c r="G56" s="264"/>
      <c r="H56" s="264"/>
      <c r="I56" s="264"/>
      <c r="J56" s="265">
        <v>1.28</v>
      </c>
      <c r="K56" s="265">
        <v>1.24</v>
      </c>
      <c r="L56" s="265">
        <v>1.18</v>
      </c>
      <c r="M56" s="265">
        <v>0.89</v>
      </c>
      <c r="N56" s="265">
        <v>1.8</v>
      </c>
      <c r="O56" s="265">
        <v>2.2000000000000002</v>
      </c>
      <c r="P56" s="265">
        <v>1.9</v>
      </c>
      <c r="Q56" s="265">
        <v>2.64</v>
      </c>
      <c r="R56" s="293" t="s">
        <v>239</v>
      </c>
    </row>
    <row r="57" spans="2:18" ht="15.6" x14ac:dyDescent="0.3">
      <c r="B57" s="293" t="s">
        <v>240</v>
      </c>
      <c r="C57" s="243"/>
      <c r="D57" s="264"/>
      <c r="E57" s="264"/>
      <c r="F57" s="264"/>
      <c r="G57" s="264"/>
      <c r="H57" s="264"/>
      <c r="I57" s="264"/>
      <c r="J57" s="265">
        <v>0.73</v>
      </c>
      <c r="K57" s="265">
        <v>0.57999999999999996</v>
      </c>
      <c r="L57" s="265">
        <v>0.53</v>
      </c>
      <c r="M57" s="265">
        <v>0.51</v>
      </c>
      <c r="N57" s="265">
        <v>0.98</v>
      </c>
      <c r="O57" s="265">
        <v>0.95</v>
      </c>
      <c r="P57" s="265">
        <v>0.95</v>
      </c>
      <c r="Q57" s="265">
        <v>0.91</v>
      </c>
      <c r="R57" s="293" t="s">
        <v>240</v>
      </c>
    </row>
    <row r="58" spans="2:18" ht="15.6" x14ac:dyDescent="0.3">
      <c r="B58" s="293" t="s">
        <v>241</v>
      </c>
      <c r="C58" s="243"/>
      <c r="D58" s="264"/>
      <c r="E58" s="264"/>
      <c r="F58" s="264"/>
      <c r="G58" s="264"/>
      <c r="H58" s="264"/>
      <c r="I58" s="264"/>
      <c r="J58" s="265">
        <v>1.1200000000000001</v>
      </c>
      <c r="K58" s="265">
        <v>0.92</v>
      </c>
      <c r="L58" s="265">
        <v>0.88</v>
      </c>
      <c r="M58" s="265">
        <v>0.89</v>
      </c>
      <c r="N58" s="265">
        <v>1.63</v>
      </c>
      <c r="O58" s="265">
        <v>1.9</v>
      </c>
      <c r="P58" s="265">
        <v>1.7</v>
      </c>
      <c r="Q58" s="265">
        <v>1.73</v>
      </c>
      <c r="R58" s="293" t="s">
        <v>241</v>
      </c>
    </row>
    <row r="59" spans="2:18" ht="15.6" x14ac:dyDescent="0.3">
      <c r="B59" s="293" t="s">
        <v>183</v>
      </c>
      <c r="C59" s="243"/>
      <c r="D59" s="264"/>
      <c r="E59" s="264"/>
      <c r="F59" s="264"/>
      <c r="G59" s="264"/>
      <c r="H59" s="264"/>
      <c r="I59" s="264"/>
      <c r="J59" s="265">
        <v>0.79</v>
      </c>
      <c r="K59" s="265">
        <v>0.65</v>
      </c>
      <c r="L59" s="265">
        <v>0.6</v>
      </c>
      <c r="M59" s="265">
        <v>0.61</v>
      </c>
      <c r="N59" s="265">
        <v>1.0900000000000001</v>
      </c>
      <c r="O59" s="265">
        <v>1.07</v>
      </c>
      <c r="P59" s="265">
        <v>1.05</v>
      </c>
      <c r="Q59" s="265">
        <v>1.03</v>
      </c>
      <c r="R59" s="293" t="s">
        <v>183</v>
      </c>
    </row>
    <row r="60" spans="2:18" ht="15.6" x14ac:dyDescent="0.3">
      <c r="B60" s="293" t="s">
        <v>184</v>
      </c>
      <c r="C60" s="243"/>
      <c r="D60" s="264"/>
      <c r="E60" s="264"/>
      <c r="F60" s="264"/>
      <c r="G60" s="264"/>
      <c r="H60" s="264"/>
      <c r="I60" s="264"/>
      <c r="J60" s="265">
        <v>0.94</v>
      </c>
      <c r="K60" s="265">
        <v>0.8</v>
      </c>
      <c r="L60" s="265">
        <v>0.79</v>
      </c>
      <c r="M60" s="265">
        <v>0.76</v>
      </c>
      <c r="N60" s="265">
        <v>1.39</v>
      </c>
      <c r="O60" s="265">
        <v>1.96</v>
      </c>
      <c r="P60" s="265">
        <v>1.58</v>
      </c>
      <c r="Q60" s="265">
        <v>1.66</v>
      </c>
      <c r="R60" s="293" t="s">
        <v>184</v>
      </c>
    </row>
    <row r="61" spans="2:18" ht="15.6" x14ac:dyDescent="0.3">
      <c r="B61" s="293" t="s">
        <v>185</v>
      </c>
      <c r="C61" s="243"/>
      <c r="D61" s="264"/>
      <c r="E61" s="264"/>
      <c r="F61" s="264"/>
      <c r="G61" s="264"/>
      <c r="H61" s="264"/>
      <c r="I61" s="264"/>
      <c r="J61" s="265">
        <v>7.56</v>
      </c>
      <c r="K61" s="265">
        <v>5.9</v>
      </c>
      <c r="L61" s="265">
        <v>5.53</v>
      </c>
      <c r="M61" s="265">
        <v>5.77</v>
      </c>
      <c r="N61" s="265">
        <v>8.1199999999999992</v>
      </c>
      <c r="O61" s="265">
        <v>11.14</v>
      </c>
      <c r="P61" s="265">
        <v>11.37</v>
      </c>
      <c r="Q61" s="265">
        <v>9.7899999999999991</v>
      </c>
      <c r="R61" s="293" t="s">
        <v>185</v>
      </c>
    </row>
    <row r="62" spans="2:18" ht="15.6" x14ac:dyDescent="0.3">
      <c r="B62" s="293" t="s">
        <v>553</v>
      </c>
      <c r="C62" s="243"/>
      <c r="D62" s="264"/>
      <c r="E62" s="264"/>
      <c r="F62" s="264"/>
      <c r="G62" s="264"/>
      <c r="H62" s="264"/>
      <c r="I62" s="264"/>
      <c r="J62" s="265">
        <v>0.94</v>
      </c>
      <c r="K62" s="265">
        <v>0.8</v>
      </c>
      <c r="L62" s="265">
        <v>0.79</v>
      </c>
      <c r="M62" s="265">
        <v>0.76</v>
      </c>
      <c r="N62" s="265">
        <v>1.39</v>
      </c>
      <c r="O62" s="265">
        <v>1.96</v>
      </c>
      <c r="P62" s="265">
        <v>1.55</v>
      </c>
      <c r="Q62" s="265">
        <v>1.66</v>
      </c>
      <c r="R62" s="293" t="s">
        <v>553</v>
      </c>
    </row>
    <row r="63" spans="2:18" ht="15.6" x14ac:dyDescent="0.3">
      <c r="B63" s="293" t="s">
        <v>187</v>
      </c>
      <c r="C63" s="243"/>
      <c r="D63" s="264"/>
      <c r="E63" s="264"/>
      <c r="F63" s="264"/>
      <c r="G63" s="264"/>
      <c r="H63" s="264"/>
      <c r="I63" s="264"/>
      <c r="J63" s="265">
        <v>2.59</v>
      </c>
      <c r="K63" s="265">
        <v>2.86</v>
      </c>
      <c r="L63" s="265">
        <v>2.81</v>
      </c>
      <c r="M63" s="265">
        <v>2.74</v>
      </c>
      <c r="N63" s="265">
        <v>5.4</v>
      </c>
      <c r="O63" s="265">
        <v>4.4800000000000004</v>
      </c>
      <c r="P63" s="265">
        <v>4</v>
      </c>
      <c r="Q63" s="265">
        <v>5.71</v>
      </c>
      <c r="R63" s="293" t="s">
        <v>187</v>
      </c>
    </row>
    <row r="64" spans="2:18" ht="15.6" x14ac:dyDescent="0.3">
      <c r="B64" s="293" t="s">
        <v>188</v>
      </c>
      <c r="C64" s="243"/>
      <c r="D64" s="264"/>
      <c r="E64" s="264"/>
      <c r="F64" s="264"/>
      <c r="G64" s="264"/>
      <c r="H64" s="264"/>
      <c r="I64" s="264"/>
      <c r="J64" s="265">
        <v>0.78</v>
      </c>
      <c r="K64" s="265">
        <v>0.79</v>
      </c>
      <c r="L64" s="265">
        <v>0.91</v>
      </c>
      <c r="M64" s="265">
        <v>0.87</v>
      </c>
      <c r="N64" s="265">
        <v>1.4</v>
      </c>
      <c r="O64" s="265">
        <v>1.45</v>
      </c>
      <c r="P64" s="265">
        <v>1.1299999999999999</v>
      </c>
      <c r="Q64" s="265">
        <v>1.1299999999999999</v>
      </c>
      <c r="R64" s="293" t="s">
        <v>188</v>
      </c>
    </row>
    <row r="65" spans="2:18" ht="15.6" x14ac:dyDescent="0.3">
      <c r="B65" s="293" t="s">
        <v>243</v>
      </c>
      <c r="C65" s="243"/>
      <c r="D65" s="264"/>
      <c r="E65" s="264"/>
      <c r="F65" s="264"/>
      <c r="G65" s="264"/>
      <c r="H65" s="264"/>
      <c r="I65" s="264"/>
      <c r="J65" s="265">
        <v>0.98</v>
      </c>
      <c r="K65" s="265">
        <v>0.83</v>
      </c>
      <c r="L65" s="265">
        <v>0.97</v>
      </c>
      <c r="M65" s="265">
        <v>0.94</v>
      </c>
      <c r="N65" s="265">
        <v>2.02</v>
      </c>
      <c r="O65" s="265">
        <v>1.7</v>
      </c>
      <c r="P65" s="265">
        <v>1.77</v>
      </c>
      <c r="Q65" s="265">
        <v>2.15</v>
      </c>
      <c r="R65" s="293" t="s">
        <v>243</v>
      </c>
    </row>
    <row r="66" spans="2:18" ht="15.6" x14ac:dyDescent="0.3">
      <c r="B66" s="293" t="s">
        <v>554</v>
      </c>
      <c r="C66" s="243"/>
      <c r="D66" s="264"/>
      <c r="E66" s="264"/>
      <c r="F66" s="264"/>
      <c r="G66" s="264"/>
      <c r="H66" s="264"/>
      <c r="I66" s="264"/>
      <c r="J66" s="265">
        <v>0.94</v>
      </c>
      <c r="K66" s="265">
        <v>0.8</v>
      </c>
      <c r="L66" s="265">
        <v>0.79</v>
      </c>
      <c r="M66" s="265">
        <v>0.76</v>
      </c>
      <c r="N66" s="265">
        <v>1.39</v>
      </c>
      <c r="O66" s="265">
        <v>1.96</v>
      </c>
      <c r="P66" s="265">
        <v>1.61</v>
      </c>
      <c r="Q66" s="265">
        <v>1.66</v>
      </c>
      <c r="R66" s="293" t="s">
        <v>554</v>
      </c>
    </row>
    <row r="67" spans="2:18" ht="15.6" x14ac:dyDescent="0.3">
      <c r="B67" s="293" t="s">
        <v>406</v>
      </c>
      <c r="C67" s="243"/>
      <c r="D67" s="264"/>
      <c r="E67" s="264"/>
      <c r="F67" s="264"/>
      <c r="G67" s="264"/>
      <c r="H67" s="264"/>
      <c r="I67" s="264"/>
      <c r="J67" s="265">
        <v>7.56</v>
      </c>
      <c r="K67" s="265">
        <v>5.9</v>
      </c>
      <c r="L67" s="265">
        <v>5.53</v>
      </c>
      <c r="M67" s="265">
        <v>5.77</v>
      </c>
      <c r="N67" s="265">
        <v>8.1199999999999992</v>
      </c>
      <c r="O67" s="265">
        <v>11.14</v>
      </c>
      <c r="P67" s="265">
        <v>11.3</v>
      </c>
      <c r="Q67" s="265">
        <v>9.7899999999999991</v>
      </c>
      <c r="R67" s="293" t="s">
        <v>406</v>
      </c>
    </row>
    <row r="68" spans="2:18" ht="15.6" x14ac:dyDescent="0.3">
      <c r="B68" s="293" t="s">
        <v>346</v>
      </c>
      <c r="C68" s="243"/>
      <c r="D68" s="264"/>
      <c r="E68" s="264"/>
      <c r="F68" s="264"/>
      <c r="G68" s="264"/>
      <c r="H68" s="264"/>
      <c r="I68" s="264"/>
      <c r="J68" s="265">
        <v>1.1200000000000001</v>
      </c>
      <c r="K68" s="265">
        <v>0.92</v>
      </c>
      <c r="L68" s="265">
        <v>0.88</v>
      </c>
      <c r="M68" s="265">
        <v>0.89</v>
      </c>
      <c r="N68" s="265">
        <v>1.63</v>
      </c>
      <c r="O68" s="265">
        <v>1.9</v>
      </c>
      <c r="P68" s="265">
        <v>1.77</v>
      </c>
      <c r="Q68" s="265">
        <v>1.73</v>
      </c>
      <c r="R68" s="293" t="s">
        <v>346</v>
      </c>
    </row>
    <row r="69" spans="2:18" ht="15.6" x14ac:dyDescent="0.3">
      <c r="B69" s="293" t="s">
        <v>555</v>
      </c>
      <c r="C69" s="243"/>
      <c r="D69" s="264"/>
      <c r="E69" s="264"/>
      <c r="F69" s="264"/>
      <c r="G69" s="264"/>
      <c r="H69" s="264"/>
      <c r="I69" s="264"/>
      <c r="J69" s="265">
        <v>0.94</v>
      </c>
      <c r="K69" s="265">
        <v>0.8</v>
      </c>
      <c r="L69" s="265">
        <v>0.79</v>
      </c>
      <c r="M69" s="265">
        <v>0.76</v>
      </c>
      <c r="N69" s="265">
        <v>1.39</v>
      </c>
      <c r="O69" s="265">
        <v>1.96</v>
      </c>
      <c r="P69" s="265">
        <v>1.57</v>
      </c>
      <c r="Q69" s="265">
        <v>1.66</v>
      </c>
      <c r="R69" s="293" t="s">
        <v>555</v>
      </c>
    </row>
    <row r="70" spans="2:18" ht="15.6" x14ac:dyDescent="0.3">
      <c r="B70" s="293" t="s">
        <v>245</v>
      </c>
      <c r="C70" s="243"/>
      <c r="D70" s="264"/>
      <c r="E70" s="264"/>
      <c r="F70" s="264"/>
      <c r="G70" s="264"/>
      <c r="H70" s="264"/>
      <c r="I70" s="264"/>
      <c r="J70" s="265">
        <v>0.94</v>
      </c>
      <c r="K70" s="265">
        <v>0.8</v>
      </c>
      <c r="L70" s="265">
        <v>0.79</v>
      </c>
      <c r="M70" s="265">
        <v>0.76</v>
      </c>
      <c r="N70" s="265">
        <v>1.39</v>
      </c>
      <c r="O70" s="265">
        <v>1.96</v>
      </c>
      <c r="P70" s="265">
        <v>1.59</v>
      </c>
      <c r="Q70" s="265">
        <v>1.66</v>
      </c>
      <c r="R70" s="293" t="s">
        <v>245</v>
      </c>
    </row>
    <row r="71" spans="2:18" ht="15.6" x14ac:dyDescent="0.3">
      <c r="B71" s="262" t="s">
        <v>557</v>
      </c>
      <c r="C71" s="258"/>
      <c r="D71" s="258"/>
      <c r="E71" s="258"/>
      <c r="F71" s="258"/>
      <c r="G71" s="258"/>
      <c r="H71" s="258"/>
      <c r="I71" s="258"/>
      <c r="J71" s="266"/>
      <c r="K71" s="266"/>
      <c r="L71" s="266"/>
      <c r="M71" s="266"/>
      <c r="N71" s="266"/>
      <c r="O71" s="266"/>
      <c r="P71" s="266"/>
      <c r="Q71" s="266"/>
    </row>
    <row r="72" spans="2:18" ht="15.6" x14ac:dyDescent="0.3">
      <c r="B72" s="293" t="s">
        <v>548</v>
      </c>
      <c r="C72" s="243"/>
      <c r="D72" s="264"/>
      <c r="E72" s="264"/>
      <c r="F72" s="264"/>
      <c r="G72" s="264"/>
      <c r="H72" s="264"/>
      <c r="I72" s="264"/>
      <c r="J72" s="265">
        <v>0.45</v>
      </c>
      <c r="K72" s="265">
        <v>0.56000000000000005</v>
      </c>
      <c r="L72" s="265">
        <v>0.6</v>
      </c>
      <c r="M72" s="495" t="s">
        <v>676</v>
      </c>
      <c r="N72" s="265">
        <v>0.64</v>
      </c>
      <c r="O72" s="265">
        <v>0.65</v>
      </c>
      <c r="P72" s="265">
        <v>0.72</v>
      </c>
      <c r="Q72" s="265">
        <v>0.64</v>
      </c>
      <c r="R72" s="293" t="s">
        <v>548</v>
      </c>
    </row>
    <row r="73" spans="2:18" ht="15.6" x14ac:dyDescent="0.3">
      <c r="B73" s="293" t="s">
        <v>234</v>
      </c>
      <c r="C73" s="243"/>
      <c r="D73" s="264"/>
      <c r="E73" s="264"/>
      <c r="F73" s="264"/>
      <c r="G73" s="264"/>
      <c r="H73" s="264"/>
      <c r="I73" s="264"/>
      <c r="J73" s="265">
        <v>0.53</v>
      </c>
      <c r="K73" s="265">
        <v>0.59</v>
      </c>
      <c r="L73" s="265">
        <v>0.61</v>
      </c>
      <c r="M73" s="495" t="s">
        <v>677</v>
      </c>
      <c r="N73" s="265">
        <v>0.62</v>
      </c>
      <c r="O73" s="265">
        <v>0.75</v>
      </c>
      <c r="P73" s="265">
        <v>0.69</v>
      </c>
      <c r="Q73" s="265">
        <v>0.74</v>
      </c>
      <c r="R73" s="293" t="s">
        <v>234</v>
      </c>
    </row>
    <row r="74" spans="2:18" ht="15.6" x14ac:dyDescent="0.3">
      <c r="B74" s="293" t="s">
        <v>168</v>
      </c>
      <c r="C74" s="243"/>
      <c r="D74" s="264"/>
      <c r="E74" s="264"/>
      <c r="F74" s="264"/>
      <c r="G74" s="264"/>
      <c r="H74" s="264"/>
      <c r="I74" s="264"/>
      <c r="J74" s="265">
        <v>0.24</v>
      </c>
      <c r="K74" s="265">
        <v>0.26</v>
      </c>
      <c r="L74" s="265">
        <v>0.24</v>
      </c>
      <c r="M74" s="495" t="s">
        <v>678</v>
      </c>
      <c r="N74" s="265">
        <v>0.25</v>
      </c>
      <c r="O74" s="265">
        <v>0.26</v>
      </c>
      <c r="P74" s="265">
        <v>0.27</v>
      </c>
      <c r="Q74" s="265">
        <v>0.28000000000000003</v>
      </c>
      <c r="R74" s="293" t="s">
        <v>168</v>
      </c>
    </row>
    <row r="75" spans="2:18" ht="15.6" x14ac:dyDescent="0.3">
      <c r="B75" s="293" t="s">
        <v>169</v>
      </c>
      <c r="C75" s="243"/>
      <c r="D75" s="264"/>
      <c r="E75" s="264"/>
      <c r="F75" s="264"/>
      <c r="G75" s="264"/>
      <c r="H75" s="264"/>
      <c r="I75" s="264"/>
      <c r="J75" s="265">
        <v>0.56000000000000005</v>
      </c>
      <c r="K75" s="265">
        <v>0.64</v>
      </c>
      <c r="L75" s="265">
        <v>0.76</v>
      </c>
      <c r="M75" s="495" t="s">
        <v>679</v>
      </c>
      <c r="N75" s="265">
        <v>0.56999999999999995</v>
      </c>
      <c r="O75" s="265">
        <v>0.81</v>
      </c>
      <c r="P75" s="265">
        <v>0.67</v>
      </c>
      <c r="Q75" s="265">
        <v>0.7</v>
      </c>
      <c r="R75" s="293" t="s">
        <v>169</v>
      </c>
    </row>
    <row r="76" spans="2:18" ht="15.6" x14ac:dyDescent="0.3">
      <c r="B76" s="293" t="s">
        <v>170</v>
      </c>
      <c r="C76" s="243"/>
      <c r="D76" s="264"/>
      <c r="E76" s="264"/>
      <c r="F76" s="264"/>
      <c r="G76" s="264"/>
      <c r="H76" s="264"/>
      <c r="I76" s="264"/>
      <c r="J76" s="265">
        <v>0.27</v>
      </c>
      <c r="K76" s="265">
        <v>0.36</v>
      </c>
      <c r="L76" s="265">
        <v>0.4</v>
      </c>
      <c r="M76" s="495" t="s">
        <v>680</v>
      </c>
      <c r="N76" s="265">
        <v>0.38</v>
      </c>
      <c r="O76" s="265">
        <v>0.41</v>
      </c>
      <c r="P76" s="265">
        <v>0.39</v>
      </c>
      <c r="Q76" s="265">
        <v>0.39</v>
      </c>
      <c r="R76" s="293" t="s">
        <v>170</v>
      </c>
    </row>
    <row r="77" spans="2:18" ht="15.6" x14ac:dyDescent="0.3">
      <c r="B77" s="293" t="s">
        <v>171</v>
      </c>
      <c r="C77" s="243"/>
      <c r="D77" s="264"/>
      <c r="E77" s="264"/>
      <c r="F77" s="264"/>
      <c r="G77" s="264"/>
      <c r="H77" s="264"/>
      <c r="I77" s="264"/>
      <c r="J77" s="265">
        <v>0.42</v>
      </c>
      <c r="K77" s="265">
        <v>0.49</v>
      </c>
      <c r="L77" s="265">
        <v>0.56000000000000005</v>
      </c>
      <c r="M77" s="495" t="s">
        <v>681</v>
      </c>
      <c r="N77" s="265">
        <v>0.48</v>
      </c>
      <c r="O77" s="265">
        <v>0.57999999999999996</v>
      </c>
      <c r="P77" s="265">
        <v>0.56999999999999995</v>
      </c>
      <c r="Q77" s="265">
        <v>0.48</v>
      </c>
      <c r="R77" s="293" t="s">
        <v>171</v>
      </c>
    </row>
    <row r="78" spans="2:18" ht="15.6" x14ac:dyDescent="0.3">
      <c r="B78" s="293" t="s">
        <v>172</v>
      </c>
      <c r="C78" s="243"/>
      <c r="D78" s="264"/>
      <c r="E78" s="264"/>
      <c r="F78" s="264"/>
      <c r="G78" s="264"/>
      <c r="H78" s="264"/>
      <c r="I78" s="264"/>
      <c r="J78" s="265">
        <v>0.47</v>
      </c>
      <c r="K78" s="265">
        <v>0.46</v>
      </c>
      <c r="L78" s="265">
        <v>0.5</v>
      </c>
      <c r="M78" s="495" t="s">
        <v>682</v>
      </c>
      <c r="N78" s="265">
        <v>0.45</v>
      </c>
      <c r="O78" s="265">
        <v>0.53</v>
      </c>
      <c r="P78" s="265">
        <v>0.63</v>
      </c>
      <c r="Q78" s="265">
        <v>0.56000000000000005</v>
      </c>
      <c r="R78" s="293" t="s">
        <v>172</v>
      </c>
    </row>
    <row r="79" spans="2:18" ht="15.6" x14ac:dyDescent="0.3">
      <c r="B79" s="293" t="s">
        <v>235</v>
      </c>
      <c r="C79" s="243"/>
      <c r="D79" s="264"/>
      <c r="E79" s="264"/>
      <c r="F79" s="264"/>
      <c r="G79" s="264"/>
      <c r="H79" s="264"/>
      <c r="I79" s="264"/>
      <c r="J79" s="265">
        <v>0.45</v>
      </c>
      <c r="K79" s="265">
        <v>0.47</v>
      </c>
      <c r="L79" s="265">
        <v>0.52</v>
      </c>
      <c r="M79" s="495" t="s">
        <v>683</v>
      </c>
      <c r="N79" s="265">
        <v>0.46</v>
      </c>
      <c r="O79" s="265">
        <v>0.54</v>
      </c>
      <c r="P79" s="265">
        <v>0.62</v>
      </c>
      <c r="Q79" s="265">
        <v>0.54</v>
      </c>
      <c r="R79" s="293" t="s">
        <v>235</v>
      </c>
    </row>
    <row r="80" spans="2:18" ht="15.6" x14ac:dyDescent="0.3">
      <c r="B80" s="293" t="s">
        <v>349</v>
      </c>
      <c r="C80" s="243"/>
      <c r="D80" s="264"/>
      <c r="E80" s="264"/>
      <c r="F80" s="264"/>
      <c r="G80" s="264"/>
      <c r="H80" s="264"/>
      <c r="I80" s="264"/>
      <c r="J80" s="265">
        <v>0.45</v>
      </c>
      <c r="K80" s="265">
        <v>0.56000000000000005</v>
      </c>
      <c r="L80" s="265">
        <v>0.6</v>
      </c>
      <c r="M80" s="495" t="s">
        <v>676</v>
      </c>
      <c r="N80" s="265">
        <v>0.64</v>
      </c>
      <c r="O80" s="265">
        <v>0.65</v>
      </c>
      <c r="P80" s="265">
        <v>0.71</v>
      </c>
      <c r="Q80" s="265">
        <v>0.64</v>
      </c>
      <c r="R80" s="293" t="s">
        <v>349</v>
      </c>
    </row>
    <row r="81" spans="2:18" ht="15.6" x14ac:dyDescent="0.3">
      <c r="B81" s="293" t="s">
        <v>175</v>
      </c>
      <c r="C81" s="243"/>
      <c r="D81" s="264"/>
      <c r="E81" s="264"/>
      <c r="F81" s="264"/>
      <c r="G81" s="264"/>
      <c r="H81" s="264"/>
      <c r="I81" s="264"/>
      <c r="J81" s="265">
        <v>0.24</v>
      </c>
      <c r="K81" s="265">
        <v>0.26</v>
      </c>
      <c r="L81" s="265">
        <v>0.24</v>
      </c>
      <c r="M81" s="495" t="s">
        <v>678</v>
      </c>
      <c r="N81" s="265">
        <v>0.25</v>
      </c>
      <c r="O81" s="265">
        <v>0.26</v>
      </c>
      <c r="P81" s="265">
        <v>0.27</v>
      </c>
      <c r="Q81" s="265">
        <v>0.28000000000000003</v>
      </c>
      <c r="R81" s="293" t="s">
        <v>175</v>
      </c>
    </row>
    <row r="82" spans="2:18" ht="15.6" x14ac:dyDescent="0.3">
      <c r="B82" s="293" t="s">
        <v>176</v>
      </c>
      <c r="C82" s="243"/>
      <c r="D82" s="264"/>
      <c r="E82" s="264"/>
      <c r="F82" s="264"/>
      <c r="G82" s="264"/>
      <c r="H82" s="264"/>
      <c r="I82" s="264"/>
      <c r="J82" s="265">
        <v>0.42</v>
      </c>
      <c r="K82" s="265">
        <v>0.49</v>
      </c>
      <c r="L82" s="265">
        <v>0.56000000000000005</v>
      </c>
      <c r="M82" s="495" t="s">
        <v>681</v>
      </c>
      <c r="N82" s="265">
        <v>0.48</v>
      </c>
      <c r="O82" s="265">
        <v>0.57999999999999996</v>
      </c>
      <c r="P82" s="265">
        <v>0.57999999999999996</v>
      </c>
      <c r="Q82" s="265">
        <v>0.48</v>
      </c>
      <c r="R82" s="293" t="s">
        <v>176</v>
      </c>
    </row>
    <row r="83" spans="2:18" ht="15.6" x14ac:dyDescent="0.3">
      <c r="B83" s="293" t="s">
        <v>551</v>
      </c>
      <c r="C83" s="243"/>
      <c r="D83" s="264"/>
      <c r="E83" s="264"/>
      <c r="F83" s="264"/>
      <c r="G83" s="264"/>
      <c r="H83" s="264"/>
      <c r="I83" s="264"/>
      <c r="J83" s="265">
        <v>0.27</v>
      </c>
      <c r="K83" s="265">
        <v>0.28999999999999998</v>
      </c>
      <c r="L83" s="265">
        <v>0.25</v>
      </c>
      <c r="M83" s="495" t="s">
        <v>684</v>
      </c>
      <c r="N83" s="265">
        <v>0.24</v>
      </c>
      <c r="O83" s="265">
        <v>0.24</v>
      </c>
      <c r="P83" s="265">
        <v>0.25</v>
      </c>
      <c r="Q83" s="265">
        <v>0.25</v>
      </c>
      <c r="R83" s="293" t="s">
        <v>551</v>
      </c>
    </row>
    <row r="84" spans="2:18" ht="15.6" x14ac:dyDescent="0.3">
      <c r="B84" s="293" t="s">
        <v>237</v>
      </c>
      <c r="C84" s="243"/>
      <c r="D84" s="264"/>
      <c r="E84" s="264"/>
      <c r="F84" s="264"/>
      <c r="G84" s="264"/>
      <c r="H84" s="264"/>
      <c r="I84" s="264"/>
      <c r="J84" s="265">
        <v>0.67</v>
      </c>
      <c r="K84" s="265">
        <v>0.86</v>
      </c>
      <c r="L84" s="265">
        <v>1.08</v>
      </c>
      <c r="M84" s="495" t="s">
        <v>685</v>
      </c>
      <c r="N84" s="265">
        <v>0.71</v>
      </c>
      <c r="O84" s="265">
        <v>0.85</v>
      </c>
      <c r="P84" s="265">
        <v>0.68</v>
      </c>
      <c r="Q84" s="265">
        <v>0.73</v>
      </c>
      <c r="R84" s="293" t="s">
        <v>237</v>
      </c>
    </row>
    <row r="85" spans="2:18" ht="15.6" x14ac:dyDescent="0.3">
      <c r="B85" s="293" t="s">
        <v>552</v>
      </c>
      <c r="C85" s="243"/>
      <c r="D85" s="264"/>
      <c r="E85" s="264"/>
      <c r="F85" s="264"/>
      <c r="G85" s="264"/>
      <c r="H85" s="264"/>
      <c r="I85" s="264"/>
      <c r="J85" s="265">
        <v>0.52</v>
      </c>
      <c r="K85" s="265">
        <v>0.56000000000000005</v>
      </c>
      <c r="L85" s="265">
        <v>0.52</v>
      </c>
      <c r="M85" s="495" t="s">
        <v>684</v>
      </c>
      <c r="N85" s="265">
        <v>0.64</v>
      </c>
      <c r="O85" s="265">
        <v>0.77</v>
      </c>
      <c r="P85" s="265">
        <v>0.66</v>
      </c>
      <c r="Q85" s="265">
        <v>0.77</v>
      </c>
      <c r="R85" s="293" t="s">
        <v>615</v>
      </c>
    </row>
    <row r="86" spans="2:18" ht="15.6" x14ac:dyDescent="0.3">
      <c r="B86" s="293" t="s">
        <v>239</v>
      </c>
      <c r="C86" s="243"/>
      <c r="D86" s="264"/>
      <c r="E86" s="264"/>
      <c r="F86" s="264"/>
      <c r="G86" s="264"/>
      <c r="H86" s="264"/>
      <c r="I86" s="264"/>
      <c r="J86" s="265">
        <v>0.42</v>
      </c>
      <c r="K86" s="265">
        <v>0.49</v>
      </c>
      <c r="L86" s="265">
        <v>0.56000000000000005</v>
      </c>
      <c r="M86" s="495" t="s">
        <v>686</v>
      </c>
      <c r="N86" s="265">
        <v>0.48</v>
      </c>
      <c r="O86" s="265">
        <v>0.57999999999999996</v>
      </c>
      <c r="P86" s="265">
        <v>0.57999999999999996</v>
      </c>
      <c r="Q86" s="265">
        <v>0.48</v>
      </c>
      <c r="R86" s="293" t="s">
        <v>239</v>
      </c>
    </row>
    <row r="87" spans="2:18" ht="15.6" x14ac:dyDescent="0.3">
      <c r="B87" s="293" t="s">
        <v>240</v>
      </c>
      <c r="C87" s="243"/>
      <c r="D87" s="264"/>
      <c r="E87" s="264"/>
      <c r="F87" s="264"/>
      <c r="G87" s="264"/>
      <c r="H87" s="264"/>
      <c r="I87" s="264"/>
      <c r="J87" s="265">
        <v>0.27</v>
      </c>
      <c r="K87" s="265">
        <v>0.28999999999999998</v>
      </c>
      <c r="L87" s="265">
        <v>0.25</v>
      </c>
      <c r="M87" s="495" t="s">
        <v>681</v>
      </c>
      <c r="N87" s="265">
        <v>0.24</v>
      </c>
      <c r="O87" s="265">
        <v>0.24</v>
      </c>
      <c r="P87" s="265">
        <v>0.25</v>
      </c>
      <c r="Q87" s="265">
        <v>0.25</v>
      </c>
      <c r="R87" s="293" t="s">
        <v>240</v>
      </c>
    </row>
    <row r="88" spans="2:18" ht="15.6" x14ac:dyDescent="0.3">
      <c r="B88" s="293" t="s">
        <v>241</v>
      </c>
      <c r="C88" s="243"/>
      <c r="D88" s="264"/>
      <c r="E88" s="264"/>
      <c r="F88" s="264"/>
      <c r="G88" s="264"/>
      <c r="H88" s="264"/>
      <c r="I88" s="264"/>
      <c r="J88" s="265">
        <v>0.45</v>
      </c>
      <c r="K88" s="265">
        <v>0.56000000000000005</v>
      </c>
      <c r="L88" s="265">
        <v>0.6</v>
      </c>
      <c r="M88" s="495" t="s">
        <v>676</v>
      </c>
      <c r="N88" s="265">
        <v>0.64</v>
      </c>
      <c r="O88" s="265">
        <v>0.65</v>
      </c>
      <c r="P88" s="265">
        <v>0.69</v>
      </c>
      <c r="Q88" s="265">
        <v>0.64</v>
      </c>
      <c r="R88" s="293" t="s">
        <v>241</v>
      </c>
    </row>
    <row r="89" spans="2:18" ht="15.6" x14ac:dyDescent="0.3">
      <c r="B89" s="293" t="s">
        <v>183</v>
      </c>
      <c r="C89" s="243"/>
      <c r="D89" s="264"/>
      <c r="E89" s="264"/>
      <c r="F89" s="264"/>
      <c r="G89" s="264"/>
      <c r="H89" s="264"/>
      <c r="I89" s="264"/>
      <c r="J89" s="265">
        <v>0.28999999999999998</v>
      </c>
      <c r="K89" s="265">
        <v>0.33</v>
      </c>
      <c r="L89" s="265">
        <v>0.33</v>
      </c>
      <c r="M89" s="495" t="s">
        <v>687</v>
      </c>
      <c r="N89" s="265">
        <v>0.35</v>
      </c>
      <c r="O89" s="265">
        <v>0.32</v>
      </c>
      <c r="P89" s="265">
        <v>0.34</v>
      </c>
      <c r="Q89" s="265">
        <v>0.34</v>
      </c>
      <c r="R89" s="293" t="s">
        <v>183</v>
      </c>
    </row>
    <row r="90" spans="2:18" ht="15.6" x14ac:dyDescent="0.3">
      <c r="B90" s="293" t="s">
        <v>184</v>
      </c>
      <c r="C90" s="243"/>
      <c r="D90" s="264"/>
      <c r="E90" s="264"/>
      <c r="F90" s="264"/>
      <c r="G90" s="264"/>
      <c r="H90" s="264"/>
      <c r="I90" s="264"/>
      <c r="J90" s="265">
        <v>0.47</v>
      </c>
      <c r="K90" s="265">
        <v>0.46</v>
      </c>
      <c r="L90" s="265">
        <v>0.5</v>
      </c>
      <c r="M90" s="495" t="s">
        <v>682</v>
      </c>
      <c r="N90" s="265">
        <v>0.45</v>
      </c>
      <c r="O90" s="265">
        <v>0.53</v>
      </c>
      <c r="P90" s="265">
        <v>0.63</v>
      </c>
      <c r="Q90" s="265">
        <v>0.56000000000000005</v>
      </c>
      <c r="R90" s="293" t="s">
        <v>184</v>
      </c>
    </row>
    <row r="91" spans="2:18" ht="15.6" x14ac:dyDescent="0.3">
      <c r="B91" s="293" t="s">
        <v>185</v>
      </c>
      <c r="C91" s="243"/>
      <c r="D91" s="264"/>
      <c r="E91" s="264"/>
      <c r="F91" s="264"/>
      <c r="G91" s="264"/>
      <c r="H91" s="264"/>
      <c r="I91" s="264"/>
      <c r="J91" s="265">
        <v>1.62</v>
      </c>
      <c r="K91" s="265">
        <v>1.87</v>
      </c>
      <c r="L91" s="265">
        <v>1.69</v>
      </c>
      <c r="M91" s="495" t="s">
        <v>688</v>
      </c>
      <c r="N91" s="265">
        <v>2.17</v>
      </c>
      <c r="O91" s="265">
        <v>3.32</v>
      </c>
      <c r="P91" s="265">
        <v>2.37</v>
      </c>
      <c r="Q91" s="265">
        <v>2.91</v>
      </c>
      <c r="R91" s="293" t="s">
        <v>185</v>
      </c>
    </row>
    <row r="92" spans="2:18" ht="15.6" x14ac:dyDescent="0.3">
      <c r="B92" s="293" t="s">
        <v>553</v>
      </c>
      <c r="C92" s="243"/>
      <c r="D92" s="264"/>
      <c r="E92" s="264"/>
      <c r="F92" s="264"/>
      <c r="G92" s="264"/>
      <c r="H92" s="264"/>
      <c r="I92" s="264"/>
      <c r="J92" s="265">
        <v>0.47</v>
      </c>
      <c r="K92" s="265">
        <v>0.46</v>
      </c>
      <c r="L92" s="265">
        <v>0.5</v>
      </c>
      <c r="M92" s="495" t="s">
        <v>682</v>
      </c>
      <c r="N92" s="265">
        <v>0.45</v>
      </c>
      <c r="O92" s="265">
        <v>0.53</v>
      </c>
      <c r="P92" s="265">
        <v>0.62</v>
      </c>
      <c r="Q92" s="265">
        <v>0.56000000000000005</v>
      </c>
      <c r="R92" s="293" t="s">
        <v>553</v>
      </c>
    </row>
    <row r="93" spans="2:18" ht="15.6" x14ac:dyDescent="0.3">
      <c r="B93" s="293" t="s">
        <v>187</v>
      </c>
      <c r="C93" s="243"/>
      <c r="D93" s="264"/>
      <c r="E93" s="264"/>
      <c r="F93" s="264"/>
      <c r="G93" s="264"/>
      <c r="H93" s="264"/>
      <c r="I93" s="264"/>
      <c r="J93" s="265">
        <v>1.08</v>
      </c>
      <c r="K93" s="265">
        <v>1.0900000000000001</v>
      </c>
      <c r="L93" s="265">
        <v>1.21</v>
      </c>
      <c r="M93" s="495" t="s">
        <v>689</v>
      </c>
      <c r="N93" s="265">
        <v>0.93</v>
      </c>
      <c r="O93" s="265">
        <v>1.94</v>
      </c>
      <c r="P93" s="265">
        <v>1.31</v>
      </c>
      <c r="Q93" s="265">
        <v>1.54</v>
      </c>
      <c r="R93" s="293" t="s">
        <v>187</v>
      </c>
    </row>
    <row r="94" spans="2:18" ht="15.6" x14ac:dyDescent="0.3">
      <c r="B94" s="293" t="s">
        <v>188</v>
      </c>
      <c r="C94" s="243"/>
      <c r="D94" s="264"/>
      <c r="E94" s="264"/>
      <c r="F94" s="264"/>
      <c r="G94" s="264"/>
      <c r="H94" s="264"/>
      <c r="I94" s="264"/>
      <c r="J94" s="265">
        <v>0.27</v>
      </c>
      <c r="K94" s="265">
        <v>0.36</v>
      </c>
      <c r="L94" s="265">
        <v>0.4</v>
      </c>
      <c r="M94" s="495" t="s">
        <v>680</v>
      </c>
      <c r="N94" s="265">
        <v>0.38</v>
      </c>
      <c r="O94" s="265">
        <v>0.41</v>
      </c>
      <c r="P94" s="265">
        <v>0.41</v>
      </c>
      <c r="Q94" s="265">
        <v>0.39</v>
      </c>
      <c r="R94" s="293" t="s">
        <v>188</v>
      </c>
    </row>
    <row r="95" spans="2:18" ht="15.6" x14ac:dyDescent="0.3">
      <c r="B95" s="293" t="s">
        <v>243</v>
      </c>
      <c r="C95" s="243"/>
      <c r="D95" s="264"/>
      <c r="E95" s="264"/>
      <c r="F95" s="264"/>
      <c r="G95" s="264"/>
      <c r="H95" s="264"/>
      <c r="I95" s="264"/>
      <c r="J95" s="265">
        <v>0.41</v>
      </c>
      <c r="K95" s="265">
        <v>0.6</v>
      </c>
      <c r="L95" s="265">
        <v>0.59</v>
      </c>
      <c r="M95" s="495" t="s">
        <v>690</v>
      </c>
      <c r="N95" s="265">
        <v>0.92</v>
      </c>
      <c r="O95" s="265">
        <v>0.96</v>
      </c>
      <c r="P95" s="265">
        <v>1.1000000000000001</v>
      </c>
      <c r="Q95" s="265">
        <v>0.99</v>
      </c>
      <c r="R95" s="293" t="s">
        <v>243</v>
      </c>
    </row>
    <row r="96" spans="2:18" ht="15.6" x14ac:dyDescent="0.3">
      <c r="B96" s="293" t="s">
        <v>554</v>
      </c>
      <c r="C96" s="243"/>
      <c r="D96" s="264"/>
      <c r="E96" s="264"/>
      <c r="F96" s="264"/>
      <c r="G96" s="264"/>
      <c r="H96" s="264"/>
      <c r="I96" s="264"/>
      <c r="J96" s="265">
        <v>0.47</v>
      </c>
      <c r="K96" s="265">
        <v>0.46</v>
      </c>
      <c r="L96" s="265">
        <v>0.5</v>
      </c>
      <c r="M96" s="495" t="s">
        <v>682</v>
      </c>
      <c r="N96" s="265">
        <v>0.45</v>
      </c>
      <c r="O96" s="265">
        <v>0.53</v>
      </c>
      <c r="P96" s="265">
        <v>0.64</v>
      </c>
      <c r="Q96" s="265">
        <v>0.56000000000000005</v>
      </c>
      <c r="R96" s="293" t="s">
        <v>554</v>
      </c>
    </row>
    <row r="97" spans="1:18" ht="15.6" x14ac:dyDescent="0.3">
      <c r="B97" s="293" t="s">
        <v>406</v>
      </c>
      <c r="C97" s="243"/>
      <c r="D97" s="264"/>
      <c r="E97" s="264"/>
      <c r="F97" s="264"/>
      <c r="G97" s="264"/>
      <c r="H97" s="264"/>
      <c r="I97" s="264"/>
      <c r="J97" s="265">
        <v>1.62</v>
      </c>
      <c r="K97" s="265">
        <v>1.87</v>
      </c>
      <c r="L97" s="265">
        <v>1.69</v>
      </c>
      <c r="M97" s="495" t="s">
        <v>688</v>
      </c>
      <c r="N97" s="265">
        <v>2.17</v>
      </c>
      <c r="O97" s="265">
        <v>3.32</v>
      </c>
      <c r="P97" s="265">
        <v>2.36</v>
      </c>
      <c r="Q97" s="265">
        <v>2.91</v>
      </c>
      <c r="R97" s="293" t="s">
        <v>406</v>
      </c>
    </row>
    <row r="98" spans="1:18" ht="15.6" x14ac:dyDescent="0.3">
      <c r="B98" s="293" t="s">
        <v>346</v>
      </c>
      <c r="C98" s="243"/>
      <c r="D98" s="264"/>
      <c r="E98" s="264"/>
      <c r="F98" s="264"/>
      <c r="G98" s="264"/>
      <c r="H98" s="264"/>
      <c r="I98" s="264"/>
      <c r="J98" s="265">
        <v>0.45</v>
      </c>
      <c r="K98" s="265">
        <v>0.56000000000000005</v>
      </c>
      <c r="L98" s="265">
        <v>0.6</v>
      </c>
      <c r="M98" s="495" t="s">
        <v>676</v>
      </c>
      <c r="N98" s="265">
        <v>0.64</v>
      </c>
      <c r="O98" s="265">
        <v>0.65</v>
      </c>
      <c r="P98" s="265">
        <v>0.71</v>
      </c>
      <c r="Q98" s="265">
        <v>0.64</v>
      </c>
      <c r="R98" s="293" t="s">
        <v>346</v>
      </c>
    </row>
    <row r="99" spans="1:18" ht="15.6" x14ac:dyDescent="0.3">
      <c r="B99" s="293" t="s">
        <v>555</v>
      </c>
      <c r="C99" s="243"/>
      <c r="D99" s="264"/>
      <c r="E99" s="264"/>
      <c r="F99" s="264"/>
      <c r="G99" s="264"/>
      <c r="H99" s="264"/>
      <c r="I99" s="264"/>
      <c r="J99" s="265">
        <v>0.47</v>
      </c>
      <c r="K99" s="265">
        <v>0.46</v>
      </c>
      <c r="L99" s="265">
        <v>0.5</v>
      </c>
      <c r="M99" s="495" t="s">
        <v>682</v>
      </c>
      <c r="N99" s="265">
        <v>0.45</v>
      </c>
      <c r="O99" s="265">
        <v>0.53</v>
      </c>
      <c r="P99" s="265">
        <v>0.63</v>
      </c>
      <c r="Q99" s="265">
        <v>0.56000000000000005</v>
      </c>
      <c r="R99" s="293" t="s">
        <v>555</v>
      </c>
    </row>
    <row r="100" spans="1:18" ht="15.6" x14ac:dyDescent="0.3">
      <c r="B100" s="293" t="s">
        <v>245</v>
      </c>
      <c r="C100" s="243"/>
      <c r="D100" s="264"/>
      <c r="E100" s="264"/>
      <c r="F100" s="264"/>
      <c r="G100" s="264"/>
      <c r="H100" s="264"/>
      <c r="I100" s="264"/>
      <c r="J100" s="265">
        <v>0.47</v>
      </c>
      <c r="K100" s="265">
        <v>0.46</v>
      </c>
      <c r="L100" s="265">
        <v>0.5</v>
      </c>
      <c r="M100" s="495" t="s">
        <v>682</v>
      </c>
      <c r="N100" s="265">
        <v>0.45</v>
      </c>
      <c r="O100" s="265">
        <v>0.53</v>
      </c>
      <c r="P100" s="265">
        <v>0.63</v>
      </c>
      <c r="Q100" s="265">
        <v>0.56000000000000005</v>
      </c>
      <c r="R100" s="293" t="s">
        <v>245</v>
      </c>
    </row>
    <row r="101" spans="1:18" ht="15.6" x14ac:dyDescent="0.3">
      <c r="B101" s="262" t="s">
        <v>558</v>
      </c>
      <c r="C101" s="258"/>
      <c r="D101" s="258"/>
      <c r="E101" s="258"/>
      <c r="F101" s="258"/>
      <c r="G101" s="258"/>
      <c r="H101" s="258"/>
      <c r="I101" s="258"/>
      <c r="J101" s="266"/>
      <c r="K101" s="266"/>
      <c r="L101" s="266"/>
      <c r="M101" s="266"/>
      <c r="N101" s="266"/>
      <c r="O101" s="266"/>
      <c r="P101" s="266"/>
      <c r="Q101" s="266"/>
    </row>
    <row r="102" spans="1:18" ht="15.6" x14ac:dyDescent="0.3">
      <c r="A102" s="6">
        <v>1</v>
      </c>
      <c r="B102" s="293" t="s">
        <v>548</v>
      </c>
      <c r="C102" s="243"/>
      <c r="D102" s="264"/>
      <c r="E102" s="264"/>
      <c r="F102" s="264"/>
      <c r="G102" s="264"/>
      <c r="H102" s="264"/>
      <c r="I102" s="264"/>
      <c r="J102" s="265"/>
      <c r="K102" s="265">
        <v>0.33300000000000002</v>
      </c>
      <c r="L102" s="265">
        <v>0.69299999999999995</v>
      </c>
      <c r="M102" s="265">
        <v>0.76200000000000001</v>
      </c>
      <c r="N102" s="265">
        <v>0.752</v>
      </c>
      <c r="O102" s="265">
        <v>0.87</v>
      </c>
      <c r="P102" s="265">
        <v>1.02</v>
      </c>
      <c r="Q102" s="265">
        <v>0.84</v>
      </c>
      <c r="R102" s="293" t="s">
        <v>548</v>
      </c>
    </row>
    <row r="103" spans="1:18" ht="15.6" x14ac:dyDescent="0.3">
      <c r="A103" s="6">
        <v>2</v>
      </c>
      <c r="B103" s="293" t="s">
        <v>234</v>
      </c>
      <c r="C103" s="243"/>
      <c r="D103" s="264"/>
      <c r="E103" s="264"/>
      <c r="F103" s="264"/>
      <c r="G103" s="264"/>
      <c r="H103" s="264"/>
      <c r="I103" s="264"/>
      <c r="J103" s="265"/>
      <c r="K103" s="265">
        <v>0.153</v>
      </c>
      <c r="L103" s="265">
        <v>0.44800000000000001</v>
      </c>
      <c r="M103" s="265">
        <v>0.64700000000000002</v>
      </c>
      <c r="N103" s="265">
        <v>0.57299999999999995</v>
      </c>
      <c r="O103" s="265">
        <v>0.4</v>
      </c>
      <c r="P103" s="265">
        <v>0.53</v>
      </c>
      <c r="Q103" s="265">
        <v>0.54</v>
      </c>
      <c r="R103" s="293" t="s">
        <v>234</v>
      </c>
    </row>
    <row r="104" spans="1:18" ht="15.6" x14ac:dyDescent="0.3">
      <c r="A104" s="6">
        <v>3</v>
      </c>
      <c r="B104" s="293" t="s">
        <v>168</v>
      </c>
      <c r="C104" s="243"/>
      <c r="D104" s="264"/>
      <c r="E104" s="264"/>
      <c r="F104" s="264"/>
      <c r="G104" s="264"/>
      <c r="H104" s="264"/>
      <c r="I104" s="264"/>
      <c r="J104" s="265"/>
      <c r="K104" s="265">
        <v>0.22600000000000001</v>
      </c>
      <c r="L104" s="265">
        <v>0.68799999999999994</v>
      </c>
      <c r="M104" s="265">
        <v>0.71699999999999997</v>
      </c>
      <c r="N104" s="265">
        <v>0.69899999999999995</v>
      </c>
      <c r="O104" s="265">
        <v>0.68</v>
      </c>
      <c r="P104" s="265">
        <v>0.72</v>
      </c>
      <c r="Q104" s="265">
        <v>0.73</v>
      </c>
      <c r="R104" s="293" t="s">
        <v>168</v>
      </c>
    </row>
    <row r="105" spans="1:18" s="6" customFormat="1" ht="15.6" x14ac:dyDescent="0.3">
      <c r="A105" s="6">
        <v>4</v>
      </c>
      <c r="B105" s="293" t="s">
        <v>169</v>
      </c>
      <c r="C105" s="264"/>
      <c r="D105" s="264"/>
      <c r="E105" s="264"/>
      <c r="F105" s="264"/>
      <c r="G105" s="264"/>
      <c r="H105" s="264"/>
      <c r="I105" s="264"/>
      <c r="J105" s="265"/>
      <c r="K105" s="265">
        <v>0.23899999999999999</v>
      </c>
      <c r="L105" s="265">
        <v>0.59399999999999997</v>
      </c>
      <c r="M105" s="265">
        <v>0.72499999999999998</v>
      </c>
      <c r="N105" s="265">
        <v>0.67100000000000004</v>
      </c>
      <c r="O105" s="265">
        <v>0.6</v>
      </c>
      <c r="P105" s="265">
        <v>0.64</v>
      </c>
      <c r="Q105" s="265">
        <v>0.79</v>
      </c>
      <c r="R105" s="293" t="s">
        <v>169</v>
      </c>
    </row>
    <row r="106" spans="1:18" ht="15.6" x14ac:dyDescent="0.3">
      <c r="A106" s="6">
        <v>5</v>
      </c>
      <c r="B106" s="293" t="s">
        <v>170</v>
      </c>
      <c r="C106" s="243"/>
      <c r="D106" s="264"/>
      <c r="E106" s="264"/>
      <c r="F106" s="264"/>
      <c r="G106" s="264"/>
      <c r="H106" s="264"/>
      <c r="I106" s="264"/>
      <c r="J106" s="265"/>
      <c r="K106" s="265">
        <v>0.154</v>
      </c>
      <c r="L106" s="265">
        <v>0.35299999999999998</v>
      </c>
      <c r="M106" s="265">
        <v>0.41599999999999998</v>
      </c>
      <c r="N106" s="265">
        <v>0.72599999999999998</v>
      </c>
      <c r="O106" s="265">
        <v>0.34</v>
      </c>
      <c r="P106" s="265">
        <v>0.44</v>
      </c>
      <c r="Q106" s="265">
        <v>0.49</v>
      </c>
      <c r="R106" s="293" t="s">
        <v>170</v>
      </c>
    </row>
    <row r="107" spans="1:18" ht="15.6" x14ac:dyDescent="0.3">
      <c r="A107" s="6">
        <v>6</v>
      </c>
      <c r="B107" s="293" t="s">
        <v>171</v>
      </c>
      <c r="C107" s="243"/>
      <c r="D107" s="264"/>
      <c r="E107" s="264"/>
      <c r="F107" s="264"/>
      <c r="G107" s="264"/>
      <c r="H107" s="264"/>
      <c r="I107" s="264"/>
      <c r="J107" s="265"/>
      <c r="K107" s="265">
        <v>7.9000000000000001E-2</v>
      </c>
      <c r="L107" s="265">
        <v>0.23699999999999999</v>
      </c>
      <c r="M107" s="265">
        <v>0.27400000000000002</v>
      </c>
      <c r="N107" s="265">
        <v>0.20499999999999999</v>
      </c>
      <c r="O107" s="265">
        <v>0.25</v>
      </c>
      <c r="P107" s="265">
        <v>0.31</v>
      </c>
      <c r="Q107" s="265">
        <v>0.25</v>
      </c>
      <c r="R107" s="293" t="s">
        <v>171</v>
      </c>
    </row>
    <row r="108" spans="1:18" ht="15.6" x14ac:dyDescent="0.3">
      <c r="A108" s="6">
        <v>7</v>
      </c>
      <c r="B108" s="293" t="s">
        <v>172</v>
      </c>
      <c r="C108" s="243"/>
      <c r="D108" s="264"/>
      <c r="E108" s="264"/>
      <c r="F108" s="264"/>
      <c r="G108" s="264"/>
      <c r="H108" s="264"/>
      <c r="I108" s="264"/>
      <c r="J108" s="265"/>
      <c r="K108" s="265">
        <v>0.20899999999999999</v>
      </c>
      <c r="L108" s="265">
        <v>0.55600000000000005</v>
      </c>
      <c r="M108" s="265">
        <v>0.67200000000000004</v>
      </c>
      <c r="N108" s="265">
        <v>0.55800000000000005</v>
      </c>
      <c r="O108" s="265">
        <v>0.91</v>
      </c>
      <c r="P108" s="265">
        <v>0.75</v>
      </c>
      <c r="Q108" s="265">
        <v>0.61</v>
      </c>
      <c r="R108" s="293" t="s">
        <v>172</v>
      </c>
    </row>
    <row r="109" spans="1:18" ht="15.6" x14ac:dyDescent="0.3">
      <c r="A109" s="6">
        <v>8</v>
      </c>
      <c r="B109" s="293" t="s">
        <v>235</v>
      </c>
      <c r="C109" s="243"/>
      <c r="D109" s="264"/>
      <c r="E109" s="264"/>
      <c r="F109" s="264"/>
      <c r="G109" s="264"/>
      <c r="H109" s="264"/>
      <c r="I109" s="264"/>
      <c r="J109" s="265"/>
      <c r="K109" s="265">
        <v>0.16</v>
      </c>
      <c r="L109" s="265">
        <v>0.436</v>
      </c>
      <c r="M109" s="265">
        <v>0.52300000000000002</v>
      </c>
      <c r="N109" s="265">
        <v>0.42499999999999999</v>
      </c>
      <c r="O109" s="265">
        <v>0.77</v>
      </c>
      <c r="P109" s="265">
        <v>0.66</v>
      </c>
      <c r="Q109" s="265">
        <v>0.53</v>
      </c>
      <c r="R109" s="293" t="s">
        <v>235</v>
      </c>
    </row>
    <row r="110" spans="1:18" ht="15.6" x14ac:dyDescent="0.3">
      <c r="A110" s="6">
        <v>9</v>
      </c>
      <c r="B110" s="293" t="s">
        <v>349</v>
      </c>
      <c r="C110" s="243"/>
      <c r="D110" s="264"/>
      <c r="E110" s="264"/>
      <c r="F110" s="264"/>
      <c r="G110" s="264"/>
      <c r="H110" s="264"/>
      <c r="I110" s="264"/>
      <c r="J110" s="265"/>
      <c r="K110" s="265">
        <v>0.33300000000000002</v>
      </c>
      <c r="L110" s="265">
        <v>0.69299999999999995</v>
      </c>
      <c r="M110" s="265">
        <v>0.76200000000000001</v>
      </c>
      <c r="N110" s="265">
        <v>0.752</v>
      </c>
      <c r="O110" s="265">
        <v>0.87</v>
      </c>
      <c r="P110" s="265">
        <v>1</v>
      </c>
      <c r="Q110" s="265">
        <v>0.84</v>
      </c>
      <c r="R110" s="293" t="s">
        <v>349</v>
      </c>
    </row>
    <row r="111" spans="1:18" ht="15.6" x14ac:dyDescent="0.3">
      <c r="A111" s="6">
        <v>10</v>
      </c>
      <c r="B111" s="293" t="s">
        <v>175</v>
      </c>
      <c r="C111" s="243"/>
      <c r="D111" s="264"/>
      <c r="E111" s="264"/>
      <c r="F111" s="264"/>
      <c r="G111" s="264"/>
      <c r="H111" s="264"/>
      <c r="I111" s="264"/>
      <c r="J111" s="265"/>
      <c r="K111" s="265">
        <v>0.22600000000000001</v>
      </c>
      <c r="L111" s="265">
        <v>0.68799999999999994</v>
      </c>
      <c r="M111" s="265">
        <v>0.71699999999999997</v>
      </c>
      <c r="N111" s="265">
        <v>0.69899999999999995</v>
      </c>
      <c r="O111" s="265">
        <v>0.68</v>
      </c>
      <c r="P111" s="265">
        <v>0.72</v>
      </c>
      <c r="Q111" s="265">
        <v>0.73</v>
      </c>
      <c r="R111" s="293" t="s">
        <v>175</v>
      </c>
    </row>
    <row r="112" spans="1:18" ht="15.6" x14ac:dyDescent="0.3">
      <c r="A112" s="6">
        <v>11</v>
      </c>
      <c r="B112" s="293" t="s">
        <v>176</v>
      </c>
      <c r="C112" s="243"/>
      <c r="D112" s="264"/>
      <c r="E112" s="264"/>
      <c r="F112" s="264"/>
      <c r="G112" s="264"/>
      <c r="H112" s="264"/>
      <c r="I112" s="264"/>
      <c r="J112" s="265"/>
      <c r="K112" s="265">
        <v>7.9000000000000001E-2</v>
      </c>
      <c r="L112" s="265">
        <v>0.23699999999999999</v>
      </c>
      <c r="M112" s="265">
        <v>0.27400000000000002</v>
      </c>
      <c r="N112" s="265">
        <v>0.20499999999999999</v>
      </c>
      <c r="O112" s="265">
        <v>0.25</v>
      </c>
      <c r="P112" s="265">
        <v>0.32</v>
      </c>
      <c r="Q112" s="265">
        <v>0.25</v>
      </c>
      <c r="R112" s="293" t="s">
        <v>176</v>
      </c>
    </row>
    <row r="113" spans="1:18" ht="15.6" x14ac:dyDescent="0.3">
      <c r="A113" s="6">
        <v>12</v>
      </c>
      <c r="B113" s="293" t="s">
        <v>551</v>
      </c>
      <c r="C113" s="243"/>
      <c r="D113" s="264"/>
      <c r="E113" s="264"/>
      <c r="F113" s="264"/>
      <c r="G113" s="264"/>
      <c r="H113" s="264"/>
      <c r="I113" s="264"/>
      <c r="J113" s="265"/>
      <c r="K113" s="265">
        <v>0.251</v>
      </c>
      <c r="L113" s="265">
        <v>0.495</v>
      </c>
      <c r="M113" s="265">
        <v>0.48499999999999999</v>
      </c>
      <c r="N113" s="265">
        <v>0.48699999999999999</v>
      </c>
      <c r="O113" s="265">
        <v>0.44</v>
      </c>
      <c r="P113" s="265">
        <v>0.46</v>
      </c>
      <c r="Q113" s="265">
        <v>0.43</v>
      </c>
      <c r="R113" s="293" t="s">
        <v>551</v>
      </c>
    </row>
    <row r="114" spans="1:18" ht="15.6" x14ac:dyDescent="0.3">
      <c r="A114" s="6">
        <v>13</v>
      </c>
      <c r="B114" s="293" t="s">
        <v>237</v>
      </c>
      <c r="C114" s="243"/>
      <c r="D114" s="264"/>
      <c r="E114" s="264"/>
      <c r="F114" s="264"/>
      <c r="G114" s="264"/>
      <c r="H114" s="264"/>
      <c r="I114" s="264"/>
      <c r="J114" s="265"/>
      <c r="K114" s="265">
        <v>0.26800000000000002</v>
      </c>
      <c r="L114" s="265">
        <v>0.67</v>
      </c>
      <c r="M114" s="265">
        <v>0.82299999999999995</v>
      </c>
      <c r="N114" s="265">
        <v>0.83899999999999997</v>
      </c>
      <c r="O114" s="265">
        <v>0.62</v>
      </c>
      <c r="P114" s="265">
        <v>0.63</v>
      </c>
      <c r="Q114" s="265">
        <v>0.82</v>
      </c>
      <c r="R114" s="293" t="s">
        <v>237</v>
      </c>
    </row>
    <row r="115" spans="1:18" ht="15.6" x14ac:dyDescent="0.3">
      <c r="A115" s="6">
        <v>14</v>
      </c>
      <c r="B115" s="293" t="s">
        <v>552</v>
      </c>
      <c r="C115" s="243"/>
      <c r="D115" s="264"/>
      <c r="E115" s="264"/>
      <c r="F115" s="264"/>
      <c r="G115" s="264"/>
      <c r="H115" s="264"/>
      <c r="I115" s="264"/>
      <c r="J115" s="265"/>
      <c r="K115" s="265">
        <v>0.122</v>
      </c>
      <c r="L115" s="265">
        <v>0.4</v>
      </c>
      <c r="M115" s="265">
        <v>0.67900000000000005</v>
      </c>
      <c r="N115" s="265">
        <v>0.67100000000000004</v>
      </c>
      <c r="O115" s="265">
        <v>0.41</v>
      </c>
      <c r="P115" s="265">
        <v>0.5</v>
      </c>
      <c r="Q115" s="265">
        <v>0.56999999999999995</v>
      </c>
      <c r="R115" s="293" t="s">
        <v>615</v>
      </c>
    </row>
    <row r="116" spans="1:18" ht="15.6" x14ac:dyDescent="0.3">
      <c r="A116" s="6">
        <v>15</v>
      </c>
      <c r="B116" s="293" t="s">
        <v>239</v>
      </c>
      <c r="C116" s="243"/>
      <c r="D116" s="264"/>
      <c r="E116" s="264"/>
      <c r="F116" s="264"/>
      <c r="G116" s="264"/>
      <c r="H116" s="264"/>
      <c r="I116" s="264"/>
      <c r="J116" s="265"/>
      <c r="K116" s="265">
        <v>7.9000000000000001E-2</v>
      </c>
      <c r="L116" s="265">
        <v>0.23699999999999999</v>
      </c>
      <c r="M116" s="265">
        <v>0.67900000000000005</v>
      </c>
      <c r="N116" s="265">
        <v>0.20499999999999999</v>
      </c>
      <c r="O116" s="265">
        <v>0.25</v>
      </c>
      <c r="P116" s="265">
        <v>0.32</v>
      </c>
      <c r="Q116" s="265">
        <v>0.25</v>
      </c>
      <c r="R116" s="293" t="s">
        <v>239</v>
      </c>
    </row>
    <row r="117" spans="1:18" ht="15.6" x14ac:dyDescent="0.3">
      <c r="A117" s="6">
        <v>16</v>
      </c>
      <c r="B117" s="293" t="s">
        <v>240</v>
      </c>
      <c r="C117" s="243"/>
      <c r="D117" s="264"/>
      <c r="E117" s="264"/>
      <c r="F117" s="264"/>
      <c r="G117" s="264"/>
      <c r="H117" s="264"/>
      <c r="I117" s="264"/>
      <c r="J117" s="265"/>
      <c r="K117" s="265">
        <v>0.251</v>
      </c>
      <c r="L117" s="265">
        <v>0.495</v>
      </c>
      <c r="M117" s="265">
        <v>0.27400000000000002</v>
      </c>
      <c r="N117" s="265">
        <v>0.48699999999999999</v>
      </c>
      <c r="O117" s="265">
        <v>0.44</v>
      </c>
      <c r="P117" s="265">
        <v>0.46</v>
      </c>
      <c r="Q117" s="265">
        <v>0.43</v>
      </c>
      <c r="R117" s="293" t="s">
        <v>240</v>
      </c>
    </row>
    <row r="118" spans="1:18" ht="15.6" x14ac:dyDescent="0.3">
      <c r="A118" s="6">
        <v>17</v>
      </c>
      <c r="B118" s="293" t="s">
        <v>241</v>
      </c>
      <c r="C118" s="243"/>
      <c r="D118" s="264"/>
      <c r="E118" s="264"/>
      <c r="F118" s="264"/>
      <c r="G118" s="264"/>
      <c r="H118" s="264"/>
      <c r="I118" s="264"/>
      <c r="J118" s="265"/>
      <c r="K118" s="265">
        <v>0.33300000000000002</v>
      </c>
      <c r="L118" s="265">
        <v>0.69299999999999995</v>
      </c>
      <c r="M118" s="265">
        <v>0.76200000000000001</v>
      </c>
      <c r="N118" s="265">
        <v>0.752</v>
      </c>
      <c r="O118" s="265">
        <v>0.87</v>
      </c>
      <c r="P118" s="265">
        <v>0.98</v>
      </c>
      <c r="Q118" s="265">
        <v>0.84</v>
      </c>
      <c r="R118" s="293" t="s">
        <v>241</v>
      </c>
    </row>
    <row r="119" spans="1:18" ht="15.6" x14ac:dyDescent="0.3">
      <c r="A119" s="6">
        <v>18</v>
      </c>
      <c r="B119" s="293" t="s">
        <v>183</v>
      </c>
      <c r="C119" s="243"/>
      <c r="D119" s="264"/>
      <c r="E119" s="264"/>
      <c r="F119" s="264"/>
      <c r="G119" s="264"/>
      <c r="H119" s="264"/>
      <c r="I119" s="264"/>
      <c r="J119" s="265"/>
      <c r="K119" s="265">
        <v>0.252</v>
      </c>
      <c r="L119" s="265">
        <v>0.68899999999999995</v>
      </c>
      <c r="M119" s="265">
        <v>0.72799999999999998</v>
      </c>
      <c r="N119" s="265">
        <v>0.71199999999999997</v>
      </c>
      <c r="O119" s="265">
        <v>0.71</v>
      </c>
      <c r="P119" s="265">
        <v>0.77</v>
      </c>
      <c r="Q119" s="265">
        <v>0.74</v>
      </c>
      <c r="R119" s="293" t="s">
        <v>183</v>
      </c>
    </row>
    <row r="120" spans="1:18" ht="15.6" x14ac:dyDescent="0.3">
      <c r="A120" s="6">
        <v>19</v>
      </c>
      <c r="B120" s="293" t="s">
        <v>184</v>
      </c>
      <c r="C120" s="243"/>
      <c r="D120" s="264"/>
      <c r="E120" s="264"/>
      <c r="F120" s="264"/>
      <c r="G120" s="264"/>
      <c r="H120" s="264"/>
      <c r="I120" s="264"/>
      <c r="J120" s="265"/>
      <c r="K120" s="265">
        <v>0.20899999999999999</v>
      </c>
      <c r="L120" s="265">
        <v>0.55600000000000005</v>
      </c>
      <c r="M120" s="265">
        <v>0.67200000000000004</v>
      </c>
      <c r="N120" s="265">
        <v>0.55800000000000005</v>
      </c>
      <c r="O120" s="265">
        <v>0.91</v>
      </c>
      <c r="P120" s="265">
        <v>0.75</v>
      </c>
      <c r="Q120" s="265">
        <v>0.61</v>
      </c>
      <c r="R120" s="293" t="s">
        <v>184</v>
      </c>
    </row>
    <row r="121" spans="1:18" ht="15.6" x14ac:dyDescent="0.3">
      <c r="A121" s="6">
        <v>20</v>
      </c>
      <c r="B121" s="293" t="s">
        <v>185</v>
      </c>
      <c r="C121" s="243"/>
      <c r="D121" s="264"/>
      <c r="E121" s="264"/>
      <c r="F121" s="264"/>
      <c r="G121" s="264"/>
      <c r="H121" s="264"/>
      <c r="I121" s="264"/>
      <c r="J121" s="265"/>
      <c r="K121" s="265">
        <v>7.4999999999999997E-2</v>
      </c>
      <c r="L121" s="265">
        <v>0.34699999999999998</v>
      </c>
      <c r="M121" s="265">
        <v>3.17</v>
      </c>
      <c r="N121" s="265">
        <v>6.4160000000000004</v>
      </c>
      <c r="O121" s="265">
        <v>3.02</v>
      </c>
      <c r="P121" s="265">
        <v>2.4900000000000002</v>
      </c>
      <c r="Q121" s="265">
        <v>5.16</v>
      </c>
      <c r="R121" s="293" t="s">
        <v>185</v>
      </c>
    </row>
    <row r="122" spans="1:18" ht="15.6" x14ac:dyDescent="0.3">
      <c r="A122" s="6">
        <v>21</v>
      </c>
      <c r="B122" s="293" t="s">
        <v>553</v>
      </c>
      <c r="C122" s="243"/>
      <c r="D122" s="264"/>
      <c r="E122" s="264"/>
      <c r="F122" s="264"/>
      <c r="G122" s="264"/>
      <c r="H122" s="264"/>
      <c r="I122" s="264"/>
      <c r="J122" s="265"/>
      <c r="K122" s="265">
        <v>0.20899999999999999</v>
      </c>
      <c r="L122" s="265">
        <v>0.55600000000000005</v>
      </c>
      <c r="M122" s="265">
        <v>0.67200000000000004</v>
      </c>
      <c r="N122" s="265">
        <v>0.55800000000000005</v>
      </c>
      <c r="O122" s="265">
        <v>0.91</v>
      </c>
      <c r="P122" s="265">
        <v>0.74</v>
      </c>
      <c r="Q122" s="265">
        <v>0.61</v>
      </c>
      <c r="R122" s="293" t="s">
        <v>553</v>
      </c>
    </row>
    <row r="123" spans="1:18" ht="15.6" x14ac:dyDescent="0.3">
      <c r="A123" s="6">
        <v>22</v>
      </c>
      <c r="B123" s="293" t="s">
        <v>187</v>
      </c>
      <c r="C123" s="243"/>
      <c r="D123" s="264"/>
      <c r="E123" s="264"/>
      <c r="F123" s="264"/>
      <c r="G123" s="264"/>
      <c r="H123" s="264"/>
      <c r="I123" s="264"/>
      <c r="J123" s="265"/>
      <c r="K123" s="265">
        <v>0.152</v>
      </c>
      <c r="L123" s="265">
        <v>1.4370000000000001</v>
      </c>
      <c r="M123" s="265">
        <v>1.67</v>
      </c>
      <c r="N123" s="265">
        <v>1.76</v>
      </c>
      <c r="O123" s="265">
        <v>1.1499999999999999</v>
      </c>
      <c r="P123" s="265">
        <v>0.77</v>
      </c>
      <c r="Q123" s="265">
        <v>1.72</v>
      </c>
      <c r="R123" s="293" t="s">
        <v>187</v>
      </c>
    </row>
    <row r="124" spans="1:18" ht="15.6" x14ac:dyDescent="0.3">
      <c r="A124" s="6">
        <v>23</v>
      </c>
      <c r="B124" s="293" t="s">
        <v>188</v>
      </c>
      <c r="C124" s="243"/>
      <c r="D124" s="264"/>
      <c r="E124" s="264"/>
      <c r="F124" s="264"/>
      <c r="G124" s="264"/>
      <c r="H124" s="264"/>
      <c r="I124" s="264"/>
      <c r="J124" s="265"/>
      <c r="K124" s="265">
        <v>0.154</v>
      </c>
      <c r="L124" s="265">
        <v>0.35299999999999998</v>
      </c>
      <c r="M124" s="265">
        <v>0.41599999999999998</v>
      </c>
      <c r="N124" s="265">
        <v>0.72599999999999998</v>
      </c>
      <c r="O124" s="265">
        <v>0.34</v>
      </c>
      <c r="P124" s="265">
        <v>0.46</v>
      </c>
      <c r="Q124" s="265">
        <v>0.49</v>
      </c>
      <c r="R124" s="293" t="s">
        <v>188</v>
      </c>
    </row>
    <row r="125" spans="1:18" ht="15.6" x14ac:dyDescent="0.3">
      <c r="A125" s="6">
        <v>24</v>
      </c>
      <c r="B125" s="293" t="s">
        <v>243</v>
      </c>
      <c r="C125" s="243"/>
      <c r="D125" s="264"/>
      <c r="E125" s="264"/>
      <c r="F125" s="264"/>
      <c r="G125" s="264"/>
      <c r="H125" s="264"/>
      <c r="I125" s="264"/>
      <c r="J125" s="265"/>
      <c r="K125" s="265">
        <v>0.123</v>
      </c>
      <c r="L125" s="265">
        <v>0.40500000000000003</v>
      </c>
      <c r="M125" s="265">
        <v>0.61299999999999999</v>
      </c>
      <c r="N125" s="265">
        <v>0.51700000000000002</v>
      </c>
      <c r="O125" s="265">
        <v>0.35</v>
      </c>
      <c r="P125" s="265">
        <v>0.45</v>
      </c>
      <c r="Q125" s="265">
        <v>0.45</v>
      </c>
      <c r="R125" s="293" t="s">
        <v>243</v>
      </c>
    </row>
    <row r="126" spans="1:18" ht="15.6" x14ac:dyDescent="0.3">
      <c r="A126" s="6">
        <v>25</v>
      </c>
      <c r="B126" s="293" t="s">
        <v>554</v>
      </c>
      <c r="C126" s="243"/>
      <c r="D126" s="264"/>
      <c r="E126" s="264"/>
      <c r="F126" s="264"/>
      <c r="G126" s="264"/>
      <c r="H126" s="264"/>
      <c r="I126" s="264"/>
      <c r="J126" s="265"/>
      <c r="K126" s="265">
        <v>0.20899999999999999</v>
      </c>
      <c r="L126" s="265">
        <v>0.55600000000000005</v>
      </c>
      <c r="M126" s="265">
        <v>0.67200000000000004</v>
      </c>
      <c r="N126" s="265">
        <v>0.55800000000000005</v>
      </c>
      <c r="O126" s="265">
        <v>0.91</v>
      </c>
      <c r="P126" s="265">
        <v>0.77</v>
      </c>
      <c r="Q126" s="265">
        <v>0.61</v>
      </c>
      <c r="R126" s="293" t="s">
        <v>554</v>
      </c>
    </row>
    <row r="127" spans="1:18" ht="15.6" x14ac:dyDescent="0.3">
      <c r="A127" s="6">
        <v>26</v>
      </c>
      <c r="B127" s="293" t="s">
        <v>406</v>
      </c>
      <c r="C127" s="243"/>
      <c r="D127" s="264"/>
      <c r="E127" s="264"/>
      <c r="F127" s="264"/>
      <c r="G127" s="264"/>
      <c r="H127" s="264"/>
      <c r="I127" s="264"/>
      <c r="J127" s="265"/>
      <c r="K127" s="265">
        <v>7.4999999999999997E-2</v>
      </c>
      <c r="L127" s="265">
        <v>0.34699999999999998</v>
      </c>
      <c r="M127" s="265">
        <v>3.17</v>
      </c>
      <c r="N127" s="265">
        <v>6.4160000000000004</v>
      </c>
      <c r="O127" s="265">
        <v>3.02</v>
      </c>
      <c r="P127" s="265">
        <v>2.48</v>
      </c>
      <c r="Q127" s="265">
        <v>5.16</v>
      </c>
      <c r="R127" s="293" t="s">
        <v>406</v>
      </c>
    </row>
    <row r="128" spans="1:18" ht="15.6" x14ac:dyDescent="0.3">
      <c r="A128" s="6">
        <v>27</v>
      </c>
      <c r="B128" s="293" t="s">
        <v>346</v>
      </c>
      <c r="C128" s="243"/>
      <c r="D128" s="264"/>
      <c r="E128" s="264"/>
      <c r="F128" s="264"/>
      <c r="G128" s="264"/>
      <c r="H128" s="264"/>
      <c r="I128" s="264"/>
      <c r="J128" s="265"/>
      <c r="K128" s="265">
        <v>0.33300000000000002</v>
      </c>
      <c r="L128" s="265">
        <v>0.69299999999999995</v>
      </c>
      <c r="M128" s="265">
        <v>0.76200000000000001</v>
      </c>
      <c r="N128" s="265">
        <v>0.752</v>
      </c>
      <c r="O128" s="265">
        <v>0.87</v>
      </c>
      <c r="P128" s="265">
        <v>1.01</v>
      </c>
      <c r="Q128" s="265">
        <v>0.84</v>
      </c>
      <c r="R128" s="293" t="s">
        <v>346</v>
      </c>
    </row>
    <row r="129" spans="1:20" ht="15.6" x14ac:dyDescent="0.3">
      <c r="A129" s="6">
        <v>28</v>
      </c>
      <c r="B129" s="293" t="s">
        <v>555</v>
      </c>
      <c r="C129" s="243"/>
      <c r="D129" s="264"/>
      <c r="E129" s="264"/>
      <c r="F129" s="264"/>
      <c r="G129" s="264"/>
      <c r="H129" s="264"/>
      <c r="I129" s="264"/>
      <c r="J129" s="265"/>
      <c r="K129" s="265">
        <v>0.20899999999999999</v>
      </c>
      <c r="L129" s="265">
        <v>0.55600000000000005</v>
      </c>
      <c r="M129" s="265">
        <v>0.67200000000000004</v>
      </c>
      <c r="N129" s="265">
        <v>0.55800000000000005</v>
      </c>
      <c r="O129" s="265">
        <v>0.91</v>
      </c>
      <c r="P129" s="265">
        <v>0.75</v>
      </c>
      <c r="Q129" s="265">
        <v>0.61</v>
      </c>
      <c r="R129" s="293" t="s">
        <v>555</v>
      </c>
    </row>
    <row r="130" spans="1:20" ht="15.6" x14ac:dyDescent="0.3">
      <c r="A130" s="6">
        <v>29</v>
      </c>
      <c r="B130" s="293" t="s">
        <v>245</v>
      </c>
      <c r="C130" s="268"/>
      <c r="D130" s="269"/>
      <c r="E130" s="269"/>
      <c r="F130" s="269"/>
      <c r="G130" s="269"/>
      <c r="H130" s="269"/>
      <c r="I130" s="269"/>
      <c r="J130" s="270"/>
      <c r="K130" s="265">
        <v>0.20899999999999999</v>
      </c>
      <c r="L130" s="265">
        <v>0.55600000000000005</v>
      </c>
      <c r="M130" s="265">
        <v>0.67</v>
      </c>
      <c r="N130" s="265">
        <v>0.55800000000000005</v>
      </c>
      <c r="O130" s="265">
        <v>0.91</v>
      </c>
      <c r="P130" s="265">
        <v>0.76</v>
      </c>
      <c r="Q130" s="270">
        <v>0.61</v>
      </c>
      <c r="R130" s="293" t="s">
        <v>245</v>
      </c>
    </row>
    <row r="131" spans="1:20" s="205" customFormat="1" ht="15.6" x14ac:dyDescent="0.3">
      <c r="A131" s="6"/>
      <c r="B131" s="248" t="s">
        <v>524</v>
      </c>
      <c r="C131" s="271">
        <v>2003</v>
      </c>
      <c r="D131" s="271">
        <v>2004</v>
      </c>
      <c r="E131" s="271">
        <v>2005</v>
      </c>
      <c r="F131" s="271">
        <v>2006</v>
      </c>
      <c r="G131" s="271">
        <v>2007</v>
      </c>
      <c r="H131" s="271">
        <v>2008</v>
      </c>
      <c r="I131" s="271">
        <v>2009</v>
      </c>
      <c r="J131" s="271">
        <v>2010</v>
      </c>
      <c r="K131" s="271">
        <v>2011</v>
      </c>
      <c r="L131" s="271">
        <v>2012</v>
      </c>
      <c r="M131" s="271">
        <v>2013</v>
      </c>
      <c r="N131" s="271">
        <v>2014</v>
      </c>
      <c r="O131" s="271">
        <v>2015</v>
      </c>
      <c r="P131" s="271">
        <v>2016</v>
      </c>
      <c r="Q131" s="271">
        <v>2017</v>
      </c>
      <c r="R131" s="219"/>
      <c r="S131" s="219"/>
      <c r="T131" s="219"/>
    </row>
    <row r="132" spans="1:20" ht="15.6" x14ac:dyDescent="0.3">
      <c r="B132" s="259" t="s">
        <v>38</v>
      </c>
      <c r="C132" s="243"/>
      <c r="D132" s="264"/>
      <c r="E132" s="272">
        <v>4000</v>
      </c>
      <c r="F132" s="272">
        <v>4000</v>
      </c>
      <c r="G132" s="272">
        <v>4000</v>
      </c>
      <c r="H132" s="272">
        <v>4000</v>
      </c>
      <c r="I132" s="272">
        <v>4000</v>
      </c>
      <c r="J132" s="272">
        <v>4000</v>
      </c>
      <c r="K132" s="272">
        <v>4000</v>
      </c>
      <c r="L132" s="272">
        <v>4000</v>
      </c>
      <c r="M132" s="272">
        <v>4000</v>
      </c>
      <c r="N132" s="272">
        <v>4000</v>
      </c>
      <c r="O132" s="272">
        <v>4000</v>
      </c>
      <c r="P132" s="272">
        <v>4000</v>
      </c>
      <c r="Q132" s="272">
        <v>4000</v>
      </c>
    </row>
    <row r="133" spans="1:20" ht="15.6" x14ac:dyDescent="0.3">
      <c r="B133" s="259" t="s">
        <v>39</v>
      </c>
      <c r="C133" s="243"/>
      <c r="D133" s="264"/>
      <c r="E133" s="272">
        <v>540</v>
      </c>
      <c r="F133" s="272">
        <v>550</v>
      </c>
      <c r="G133" s="272">
        <v>529</v>
      </c>
      <c r="H133" s="272">
        <v>500</v>
      </c>
      <c r="I133" s="272">
        <v>516</v>
      </c>
      <c r="J133" s="272">
        <v>488</v>
      </c>
      <c r="K133" s="264">
        <v>530</v>
      </c>
      <c r="L133" s="272">
        <v>520</v>
      </c>
      <c r="M133" s="272">
        <v>497</v>
      </c>
      <c r="N133" s="272">
        <v>505</v>
      </c>
      <c r="O133" s="272">
        <v>475</v>
      </c>
      <c r="P133" s="272">
        <v>433</v>
      </c>
      <c r="Q133" s="272">
        <v>314</v>
      </c>
    </row>
    <row r="134" spans="1:20" ht="15.6" x14ac:dyDescent="0.3">
      <c r="B134" s="259" t="s">
        <v>40</v>
      </c>
      <c r="C134" s="243"/>
      <c r="D134" s="264"/>
      <c r="E134" s="272">
        <v>160</v>
      </c>
      <c r="F134" s="272">
        <v>160</v>
      </c>
      <c r="G134" s="272">
        <v>169</v>
      </c>
      <c r="H134" s="264"/>
      <c r="I134" s="264"/>
      <c r="J134" s="264"/>
      <c r="K134" s="264"/>
      <c r="L134" s="264"/>
      <c r="M134" s="264"/>
      <c r="N134" s="264"/>
      <c r="O134" s="264"/>
      <c r="P134" s="264"/>
      <c r="Q134" s="264"/>
    </row>
    <row r="135" spans="1:20" ht="15.6" x14ac:dyDescent="0.3">
      <c r="B135" s="259" t="s">
        <v>41</v>
      </c>
      <c r="C135" s="243"/>
      <c r="D135" s="264"/>
      <c r="E135" s="272">
        <v>40</v>
      </c>
      <c r="F135" s="272">
        <v>40</v>
      </c>
      <c r="G135" s="264"/>
      <c r="H135" s="264"/>
      <c r="I135" s="264"/>
      <c r="J135" s="264"/>
      <c r="K135" s="264"/>
      <c r="L135" s="264"/>
      <c r="M135" s="264"/>
      <c r="N135" s="264"/>
      <c r="O135" s="264"/>
      <c r="P135" s="264"/>
      <c r="Q135" s="264"/>
    </row>
    <row r="136" spans="1:20" ht="15.6" x14ac:dyDescent="0.3">
      <c r="B136" s="267" t="s">
        <v>42</v>
      </c>
      <c r="C136" s="268"/>
      <c r="D136" s="269"/>
      <c r="E136" s="273">
        <v>31</v>
      </c>
      <c r="F136" s="273">
        <v>45</v>
      </c>
      <c r="G136" s="273">
        <v>41</v>
      </c>
      <c r="H136" s="273">
        <v>37</v>
      </c>
      <c r="I136" s="273">
        <v>39</v>
      </c>
      <c r="J136" s="273">
        <v>37</v>
      </c>
      <c r="K136" s="273">
        <v>39</v>
      </c>
      <c r="L136" s="273">
        <v>39</v>
      </c>
      <c r="M136" s="269"/>
      <c r="N136" s="269"/>
      <c r="O136" s="269"/>
      <c r="P136" s="306"/>
      <c r="Q136" s="269"/>
    </row>
    <row r="137" spans="1:20" s="205" customFormat="1" ht="15.6" x14ac:dyDescent="0.3">
      <c r="A137" s="6"/>
      <c r="B137" s="249" t="s">
        <v>525</v>
      </c>
      <c r="C137" s="274">
        <v>2003</v>
      </c>
      <c r="D137" s="274">
        <v>2004</v>
      </c>
      <c r="E137" s="274">
        <v>2005</v>
      </c>
      <c r="F137" s="274">
        <v>2006</v>
      </c>
      <c r="G137" s="274">
        <v>2007</v>
      </c>
      <c r="H137" s="274">
        <v>2008</v>
      </c>
      <c r="I137" s="274">
        <v>2009</v>
      </c>
      <c r="J137" s="274">
        <v>2010</v>
      </c>
      <c r="K137" s="274">
        <v>2011</v>
      </c>
      <c r="L137" s="274">
        <v>2012</v>
      </c>
      <c r="M137" s="274">
        <v>2013</v>
      </c>
      <c r="N137" s="274">
        <v>2014</v>
      </c>
      <c r="O137" s="274">
        <v>2015</v>
      </c>
      <c r="P137" s="274">
        <v>2016</v>
      </c>
      <c r="Q137" s="274">
        <v>2017</v>
      </c>
      <c r="R137" s="6"/>
      <c r="S137" s="6"/>
    </row>
    <row r="138" spans="1:20" s="205" customFormat="1" ht="15.6" x14ac:dyDescent="0.3">
      <c r="A138" s="6"/>
      <c r="B138" s="250" t="s">
        <v>516</v>
      </c>
      <c r="C138" s="275"/>
      <c r="D138" s="275"/>
      <c r="E138" s="275"/>
      <c r="F138" s="275"/>
      <c r="G138" s="275"/>
      <c r="H138" s="275"/>
      <c r="I138" s="276"/>
      <c r="J138" s="276"/>
      <c r="K138" s="276"/>
      <c r="L138" s="276"/>
      <c r="M138" s="276"/>
      <c r="N138" s="276">
        <v>0.64</v>
      </c>
      <c r="O138" s="276">
        <v>0.81</v>
      </c>
      <c r="P138" s="276">
        <v>0.69</v>
      </c>
      <c r="Q138" s="276">
        <v>0.77</v>
      </c>
      <c r="R138" s="6"/>
      <c r="S138" s="6"/>
    </row>
    <row r="139" spans="1:20" s="205" customFormat="1" ht="15.6" x14ac:dyDescent="0.3">
      <c r="A139" s="6"/>
      <c r="B139" s="250" t="s">
        <v>517</v>
      </c>
      <c r="C139" s="275"/>
      <c r="D139" s="275"/>
      <c r="E139" s="275"/>
      <c r="F139" s="275"/>
      <c r="G139" s="275"/>
      <c r="H139" s="275"/>
      <c r="I139" s="276"/>
      <c r="J139" s="276"/>
      <c r="K139" s="276"/>
      <c r="L139" s="276"/>
      <c r="M139" s="276"/>
      <c r="N139" s="276">
        <v>0.36</v>
      </c>
      <c r="O139" s="276">
        <v>0.19</v>
      </c>
      <c r="P139" s="276">
        <v>0.31</v>
      </c>
      <c r="Q139" s="276">
        <v>0.23</v>
      </c>
      <c r="R139" s="6"/>
      <c r="S139" s="6"/>
      <c r="T139" s="475"/>
    </row>
    <row r="140" spans="1:20" s="205" customFormat="1" ht="15.6" x14ac:dyDescent="0.3">
      <c r="A140" s="6"/>
      <c r="B140" s="251" t="s">
        <v>520</v>
      </c>
      <c r="C140" s="277"/>
      <c r="D140" s="277"/>
      <c r="E140" s="277"/>
      <c r="F140" s="277"/>
      <c r="G140" s="277"/>
      <c r="H140" s="277"/>
      <c r="I140" s="278"/>
      <c r="J140" s="278"/>
      <c r="K140" s="278"/>
      <c r="L140" s="278"/>
      <c r="M140" s="278"/>
      <c r="N140" s="278">
        <v>0</v>
      </c>
      <c r="O140" s="278">
        <v>0</v>
      </c>
      <c r="P140" s="278">
        <v>0</v>
      </c>
      <c r="Q140" s="278">
        <v>0</v>
      </c>
      <c r="R140" s="6"/>
      <c r="S140" s="6"/>
      <c r="T140" s="475"/>
    </row>
    <row r="141" spans="1:20" s="205" customFormat="1" ht="15.6" x14ac:dyDescent="0.3">
      <c r="A141" s="6"/>
      <c r="B141" s="252" t="s">
        <v>518</v>
      </c>
      <c r="C141" s="279"/>
      <c r="D141" s="279"/>
      <c r="E141" s="279"/>
      <c r="F141" s="279"/>
      <c r="G141" s="279"/>
      <c r="H141" s="279"/>
      <c r="I141" s="280"/>
      <c r="J141" s="280"/>
      <c r="K141" s="280"/>
      <c r="L141" s="280"/>
      <c r="M141" s="280"/>
      <c r="N141" s="280">
        <v>1</v>
      </c>
      <c r="O141" s="280">
        <v>1</v>
      </c>
      <c r="P141" s="282">
        <v>1</v>
      </c>
      <c r="Q141" s="282">
        <v>1</v>
      </c>
      <c r="R141" s="6"/>
      <c r="S141" s="6"/>
      <c r="T141" s="475"/>
    </row>
    <row r="142" spans="1:20" s="205" customFormat="1" ht="15.6" x14ac:dyDescent="0.3">
      <c r="A142" s="6"/>
      <c r="B142" s="246" t="s">
        <v>519</v>
      </c>
      <c r="C142" s="281"/>
      <c r="D142" s="281"/>
      <c r="E142" s="281"/>
      <c r="F142" s="281"/>
      <c r="G142" s="281"/>
      <c r="H142" s="281"/>
      <c r="I142" s="282"/>
      <c r="J142" s="282"/>
      <c r="K142" s="282"/>
      <c r="L142" s="282"/>
      <c r="M142" s="282"/>
      <c r="N142" s="282">
        <v>0</v>
      </c>
      <c r="O142" s="282">
        <v>0</v>
      </c>
      <c r="P142" s="282">
        <v>0</v>
      </c>
      <c r="Q142" s="282">
        <v>0</v>
      </c>
      <c r="R142" s="6"/>
      <c r="S142" s="6"/>
      <c r="T142" s="475"/>
    </row>
    <row r="143" spans="1:20" s="205" customFormat="1" ht="15.6" x14ac:dyDescent="0.3">
      <c r="A143" s="6"/>
      <c r="B143" s="247" t="s">
        <v>521</v>
      </c>
      <c r="C143" s="277"/>
      <c r="D143" s="277"/>
      <c r="E143" s="277"/>
      <c r="F143" s="277"/>
      <c r="G143" s="277"/>
      <c r="H143" s="277"/>
      <c r="I143" s="278"/>
      <c r="J143" s="278"/>
      <c r="K143" s="278"/>
      <c r="L143" s="278"/>
      <c r="M143" s="278"/>
      <c r="N143" s="278">
        <v>0</v>
      </c>
      <c r="O143" s="278">
        <v>0</v>
      </c>
      <c r="P143" s="278">
        <v>0</v>
      </c>
      <c r="Q143" s="278">
        <v>0</v>
      </c>
      <c r="R143" s="6"/>
      <c r="S143" s="6"/>
      <c r="T143" s="475"/>
    </row>
    <row r="144" spans="1:20" s="205" customFormat="1" ht="15.6" x14ac:dyDescent="0.3">
      <c r="A144" s="6"/>
      <c r="B144" s="253" t="s">
        <v>523</v>
      </c>
      <c r="C144" s="283"/>
      <c r="D144" s="283"/>
      <c r="E144" s="283"/>
      <c r="F144" s="283"/>
      <c r="G144" s="283"/>
      <c r="H144" s="283"/>
      <c r="I144" s="284"/>
      <c r="J144" s="284"/>
      <c r="K144" s="284"/>
      <c r="L144" s="284"/>
      <c r="M144" s="284"/>
      <c r="N144" s="284">
        <v>1</v>
      </c>
      <c r="O144" s="284">
        <v>1</v>
      </c>
      <c r="P144" s="284">
        <v>0.99</v>
      </c>
      <c r="Q144" s="284">
        <v>0.98</v>
      </c>
      <c r="R144" s="6"/>
      <c r="S144" s="6"/>
      <c r="T144" s="475"/>
    </row>
    <row r="145" spans="1:20" s="205" customFormat="1" ht="15.6" x14ac:dyDescent="0.3">
      <c r="A145" s="6"/>
      <c r="B145" s="253" t="s">
        <v>522</v>
      </c>
      <c r="C145" s="283"/>
      <c r="D145" s="283"/>
      <c r="E145" s="283"/>
      <c r="F145" s="283"/>
      <c r="G145" s="283"/>
      <c r="H145" s="283"/>
      <c r="I145" s="284"/>
      <c r="J145" s="284"/>
      <c r="K145" s="284"/>
      <c r="L145" s="284"/>
      <c r="M145" s="284"/>
      <c r="N145" s="284">
        <v>1</v>
      </c>
      <c r="O145" s="284">
        <v>1</v>
      </c>
      <c r="P145" s="284">
        <v>1</v>
      </c>
      <c r="Q145" s="284">
        <v>1</v>
      </c>
      <c r="R145" s="6"/>
      <c r="S145" s="6"/>
      <c r="T145" s="475"/>
    </row>
    <row r="146" spans="1:20" s="6" customFormat="1" ht="15.6" x14ac:dyDescent="0.3">
      <c r="B146" s="254" t="s">
        <v>9</v>
      </c>
      <c r="C146" s="285"/>
      <c r="D146" s="285"/>
      <c r="E146" s="285"/>
      <c r="F146" s="285"/>
      <c r="G146" s="285"/>
      <c r="H146" s="285"/>
      <c r="I146" s="285"/>
      <c r="J146" s="285"/>
      <c r="K146" s="285"/>
      <c r="L146" s="285"/>
      <c r="M146" s="285"/>
      <c r="N146" s="285"/>
      <c r="O146" s="285"/>
      <c r="P146" s="285"/>
      <c r="Q146" s="285"/>
    </row>
    <row r="147" spans="1:20" ht="15.6" x14ac:dyDescent="0.3">
      <c r="B147" s="259" t="s">
        <v>29</v>
      </c>
      <c r="C147" s="286">
        <v>4686471</v>
      </c>
      <c r="D147" s="286">
        <v>10388747</v>
      </c>
      <c r="E147" s="286">
        <v>10656651</v>
      </c>
      <c r="F147" s="286">
        <v>10412662</v>
      </c>
      <c r="G147" s="286">
        <v>10640487</v>
      </c>
      <c r="H147" s="286">
        <v>9989220</v>
      </c>
      <c r="I147" s="286">
        <v>9551471</v>
      </c>
      <c r="J147" s="287">
        <v>11187166</v>
      </c>
      <c r="K147" s="287">
        <v>13263351</v>
      </c>
      <c r="L147" s="287">
        <f>L148+76939</f>
        <v>13531968</v>
      </c>
      <c r="M147" s="287">
        <v>14764232</v>
      </c>
      <c r="N147" s="287">
        <v>14646328</v>
      </c>
      <c r="O147" s="287">
        <v>14983611</v>
      </c>
      <c r="P147" s="287">
        <v>14787372</v>
      </c>
      <c r="Q147" s="287">
        <v>15331647</v>
      </c>
      <c r="T147" s="475"/>
    </row>
    <row r="148" spans="1:20" ht="15.6" x14ac:dyDescent="0.3">
      <c r="B148" s="259" t="s">
        <v>251</v>
      </c>
      <c r="C148" s="286">
        <v>4653167</v>
      </c>
      <c r="D148" s="286">
        <v>10361928</v>
      </c>
      <c r="E148" s="286">
        <v>10605308</v>
      </c>
      <c r="F148" s="286">
        <v>10412662</v>
      </c>
      <c r="G148" s="286">
        <v>10551526</v>
      </c>
      <c r="H148" s="286">
        <v>9862343</v>
      </c>
      <c r="I148" s="286">
        <v>9519000</v>
      </c>
      <c r="J148" s="286">
        <v>11159000</v>
      </c>
      <c r="K148" s="286">
        <v>13162000</v>
      </c>
      <c r="L148" s="286">
        <v>13455029</v>
      </c>
      <c r="M148" s="287">
        <v>14656955</v>
      </c>
      <c r="N148" s="287">
        <v>14424028</v>
      </c>
      <c r="O148" s="287">
        <v>14832026</v>
      </c>
      <c r="P148" s="287">
        <v>14603063</v>
      </c>
      <c r="Q148" s="287">
        <v>15123056</v>
      </c>
      <c r="T148" s="475"/>
    </row>
    <row r="149" spans="1:20" ht="15.6" x14ac:dyDescent="0.3">
      <c r="B149" s="259" t="s">
        <v>30</v>
      </c>
      <c r="C149" s="286">
        <v>3815673</v>
      </c>
      <c r="D149" s="286">
        <v>9694400</v>
      </c>
      <c r="E149" s="286">
        <v>10414158</v>
      </c>
      <c r="F149" s="286">
        <v>10402884</v>
      </c>
      <c r="G149" s="286">
        <v>10179364</v>
      </c>
      <c r="H149" s="286">
        <v>10272886</v>
      </c>
      <c r="I149" s="286">
        <v>8805990</v>
      </c>
      <c r="J149" s="287">
        <v>9437651</v>
      </c>
      <c r="K149" s="287">
        <v>10553444</v>
      </c>
      <c r="L149" s="287">
        <f>L147-L152</f>
        <v>11973610</v>
      </c>
      <c r="M149" s="287">
        <v>12317553</v>
      </c>
      <c r="N149" s="287">
        <v>12863473</v>
      </c>
      <c r="O149" s="287">
        <v>12615168</v>
      </c>
      <c r="P149" s="287">
        <v>14115297</v>
      </c>
      <c r="Q149" s="287">
        <v>14671223</v>
      </c>
      <c r="T149" s="475"/>
    </row>
    <row r="150" spans="1:20" ht="15.6" x14ac:dyDescent="0.3">
      <c r="B150" s="259" t="s">
        <v>250</v>
      </c>
      <c r="C150" s="286">
        <v>173420</v>
      </c>
      <c r="D150" s="286">
        <v>300150</v>
      </c>
      <c r="E150" s="286">
        <v>264213</v>
      </c>
      <c r="F150" s="286">
        <v>257249</v>
      </c>
      <c r="G150" s="286">
        <v>239812</v>
      </c>
      <c r="H150" s="286">
        <v>231994</v>
      </c>
      <c r="I150" s="286">
        <v>114085</v>
      </c>
      <c r="J150" s="287">
        <v>235370</v>
      </c>
      <c r="K150" s="287">
        <v>288694</v>
      </c>
      <c r="L150" s="286">
        <v>333158</v>
      </c>
      <c r="M150" s="287">
        <v>356132</v>
      </c>
      <c r="N150" s="287">
        <v>303783</v>
      </c>
      <c r="O150" s="287">
        <v>538555</v>
      </c>
      <c r="P150" s="287">
        <v>524560</v>
      </c>
      <c r="Q150" s="287">
        <v>501811</v>
      </c>
      <c r="T150" s="475"/>
    </row>
    <row r="151" spans="1:20" ht="15.6" x14ac:dyDescent="0.3">
      <c r="B151" s="259" t="s">
        <v>249</v>
      </c>
      <c r="C151" s="286">
        <v>3077625</v>
      </c>
      <c r="D151" s="286">
        <v>8710817</v>
      </c>
      <c r="E151" s="286">
        <v>9537496</v>
      </c>
      <c r="F151" s="286">
        <v>9577267</v>
      </c>
      <c r="G151" s="286">
        <v>9338782</v>
      </c>
      <c r="H151" s="286">
        <v>9371284</v>
      </c>
      <c r="I151" s="286">
        <v>8590035</v>
      </c>
      <c r="J151" s="287">
        <v>9088324</v>
      </c>
      <c r="K151" s="287">
        <v>10113303</v>
      </c>
      <c r="L151" s="286">
        <v>10877786</v>
      </c>
      <c r="M151" s="287">
        <v>11031890</v>
      </c>
      <c r="N151" s="287">
        <v>11077915</v>
      </c>
      <c r="O151" s="287">
        <v>10944248</v>
      </c>
      <c r="P151" s="287">
        <v>12577873</v>
      </c>
      <c r="Q151" s="287">
        <v>12709907</v>
      </c>
      <c r="T151" s="475"/>
    </row>
    <row r="152" spans="1:20" ht="15.6" x14ac:dyDescent="0.3">
      <c r="B152" s="259" t="s">
        <v>7</v>
      </c>
      <c r="C152" s="286">
        <f t="shared" ref="C152:H152" si="0">C147-C149</f>
        <v>870798</v>
      </c>
      <c r="D152" s="286">
        <f t="shared" si="0"/>
        <v>694347</v>
      </c>
      <c r="E152" s="286">
        <f t="shared" si="0"/>
        <v>242493</v>
      </c>
      <c r="F152" s="286">
        <f t="shared" si="0"/>
        <v>9778</v>
      </c>
      <c r="G152" s="286">
        <f t="shared" si="0"/>
        <v>461123</v>
      </c>
      <c r="H152" s="288">
        <f t="shared" si="0"/>
        <v>-283666</v>
      </c>
      <c r="I152" s="286">
        <v>204000</v>
      </c>
      <c r="J152" s="286">
        <v>1230000</v>
      </c>
      <c r="K152" s="286">
        <v>2169000</v>
      </c>
      <c r="L152" s="286">
        <v>1558358</v>
      </c>
      <c r="M152" s="287">
        <f>M147-M149</f>
        <v>2446679</v>
      </c>
      <c r="N152" s="287">
        <v>1782855</v>
      </c>
      <c r="O152" s="287">
        <v>2368443</v>
      </c>
      <c r="P152" s="287">
        <v>672075</v>
      </c>
      <c r="Q152" s="287">
        <v>660424</v>
      </c>
      <c r="T152" s="475"/>
    </row>
    <row r="153" spans="1:20" s="6" customFormat="1" ht="15.6" x14ac:dyDescent="0.3">
      <c r="B153" s="254" t="s">
        <v>8</v>
      </c>
      <c r="C153" s="285"/>
      <c r="D153" s="285"/>
      <c r="E153" s="285"/>
      <c r="F153" s="285"/>
      <c r="G153" s="285"/>
      <c r="H153" s="285"/>
      <c r="I153" s="285"/>
      <c r="J153" s="285"/>
      <c r="K153" s="285"/>
      <c r="L153" s="285"/>
      <c r="M153" s="285"/>
      <c r="N153" s="285"/>
      <c r="O153" s="285"/>
      <c r="P153" s="285"/>
      <c r="Q153" s="285"/>
    </row>
    <row r="154" spans="1:20" s="10" customFormat="1" ht="15.6" x14ac:dyDescent="0.3">
      <c r="B154" s="259" t="s">
        <v>327</v>
      </c>
      <c r="C154" s="264"/>
      <c r="D154" s="264"/>
      <c r="E154" s="264"/>
      <c r="F154" s="272">
        <v>97600000</v>
      </c>
      <c r="G154" s="272">
        <v>99690000</v>
      </c>
      <c r="H154" s="272">
        <v>96590000</v>
      </c>
      <c r="I154" s="272">
        <v>83550000</v>
      </c>
      <c r="J154" s="272">
        <v>85050000</v>
      </c>
      <c r="K154" s="272">
        <v>93500000</v>
      </c>
      <c r="L154" s="272">
        <v>88710000</v>
      </c>
      <c r="M154" s="272">
        <v>95800000</v>
      </c>
      <c r="N154" s="272">
        <v>93040000</v>
      </c>
      <c r="O154" s="272">
        <v>97710000</v>
      </c>
      <c r="P154" s="272">
        <v>92640000</v>
      </c>
      <c r="Q154" s="272">
        <v>99700000</v>
      </c>
    </row>
    <row r="155" spans="1:20" s="10" customFormat="1" ht="15.6" x14ac:dyDescent="0.3">
      <c r="B155" s="259" t="s">
        <v>36</v>
      </c>
      <c r="C155" s="272">
        <v>17084490</v>
      </c>
      <c r="D155" s="272">
        <v>44119202</v>
      </c>
      <c r="E155" s="272">
        <v>47740794</v>
      </c>
      <c r="F155" s="272">
        <v>47554996</v>
      </c>
      <c r="G155" s="272">
        <v>49012147</v>
      </c>
      <c r="H155" s="272">
        <v>49269955</v>
      </c>
      <c r="I155" s="272">
        <v>44900000</v>
      </c>
      <c r="J155" s="272">
        <v>47077607</v>
      </c>
      <c r="K155" s="272">
        <v>47880000</v>
      </c>
      <c r="L155" s="272">
        <v>49400000</v>
      </c>
      <c r="M155" s="272">
        <v>50000000</v>
      </c>
      <c r="N155" s="272">
        <v>48050000</v>
      </c>
      <c r="O155" s="272">
        <v>47300000</v>
      </c>
      <c r="P155" s="272">
        <v>46350000</v>
      </c>
      <c r="Q155" s="272">
        <v>47760000</v>
      </c>
    </row>
    <row r="156" spans="1:20" s="10" customFormat="1" ht="15.6" x14ac:dyDescent="0.3">
      <c r="B156" s="259" t="s">
        <v>616</v>
      </c>
      <c r="C156" s="264"/>
      <c r="D156" s="264"/>
      <c r="E156" s="264"/>
      <c r="F156" s="264"/>
      <c r="G156" s="272">
        <v>69700000</v>
      </c>
      <c r="H156" s="272">
        <v>67500000</v>
      </c>
      <c r="I156" s="272">
        <v>58400000</v>
      </c>
      <c r="J156" s="272">
        <v>59400000</v>
      </c>
      <c r="K156" s="272">
        <v>65350000</v>
      </c>
      <c r="L156" s="272">
        <v>62000000</v>
      </c>
      <c r="M156" s="272">
        <v>67000000</v>
      </c>
      <c r="N156" s="272">
        <v>65030000</v>
      </c>
      <c r="O156" s="272">
        <v>68290000</v>
      </c>
      <c r="P156" s="272">
        <v>64750000</v>
      </c>
      <c r="Q156" s="272">
        <v>69664140</v>
      </c>
    </row>
    <row r="157" spans="1:20" s="10" customFormat="1" ht="15.6" x14ac:dyDescent="0.3">
      <c r="B157" s="259" t="s">
        <v>328</v>
      </c>
      <c r="C157" s="264"/>
      <c r="D157" s="264"/>
      <c r="E157" s="264"/>
      <c r="F157" s="272">
        <v>6200000</v>
      </c>
      <c r="G157" s="272">
        <v>6241000</v>
      </c>
      <c r="H157" s="272">
        <v>5767000</v>
      </c>
      <c r="I157" s="272">
        <v>5658000</v>
      </c>
      <c r="J157" s="272">
        <v>6098000</v>
      </c>
      <c r="K157" s="272">
        <v>6228000</v>
      </c>
      <c r="L157" s="272">
        <v>6056000</v>
      </c>
      <c r="M157" s="272">
        <v>6350000</v>
      </c>
      <c r="N157" s="272">
        <v>6460000</v>
      </c>
      <c r="O157" s="272">
        <v>6850000</v>
      </c>
      <c r="P157" s="272">
        <v>6550000</v>
      </c>
      <c r="Q157" s="272">
        <v>6781761</v>
      </c>
    </row>
    <row r="158" spans="1:20" s="10" customFormat="1" ht="15.6" x14ac:dyDescent="0.3">
      <c r="B158" s="259" t="s">
        <v>37</v>
      </c>
      <c r="C158" s="289">
        <v>1750521</v>
      </c>
      <c r="D158" s="289">
        <v>4721232</v>
      </c>
      <c r="E158" s="289">
        <v>4925339</v>
      </c>
      <c r="F158" s="289">
        <v>4729007</v>
      </c>
      <c r="G158" s="289">
        <v>5234673</v>
      </c>
      <c r="H158" s="289">
        <v>5636090</v>
      </c>
      <c r="I158" s="289">
        <f>I157*0.907</f>
        <v>5131806</v>
      </c>
      <c r="J158" s="289">
        <f>J157*0.86</f>
        <v>5244280</v>
      </c>
      <c r="K158" s="289">
        <f>K157*0.86</f>
        <v>5356080</v>
      </c>
      <c r="L158" s="272">
        <v>5159000</v>
      </c>
      <c r="M158" s="272">
        <v>5260000</v>
      </c>
      <c r="N158" s="272">
        <v>5570000</v>
      </c>
      <c r="O158" s="272">
        <v>5910000</v>
      </c>
      <c r="P158" s="272">
        <v>5580000</v>
      </c>
      <c r="Q158" s="272">
        <v>5900207</v>
      </c>
    </row>
    <row r="159" spans="1:20" s="10" customFormat="1" ht="15.6" x14ac:dyDescent="0.3">
      <c r="B159" s="259" t="s">
        <v>355</v>
      </c>
      <c r="C159" s="264"/>
      <c r="D159" s="264"/>
      <c r="E159" s="264"/>
      <c r="F159" s="272">
        <v>2240000</v>
      </c>
      <c r="G159" s="272">
        <v>2187000</v>
      </c>
      <c r="H159" s="272">
        <v>2006000</v>
      </c>
      <c r="I159" s="272">
        <v>1773000</v>
      </c>
      <c r="J159" s="272">
        <v>1736000</v>
      </c>
      <c r="K159" s="272">
        <v>1924000</v>
      </c>
      <c r="L159" s="272">
        <v>2066000</v>
      </c>
      <c r="M159" s="272">
        <v>2177000</v>
      </c>
      <c r="N159" s="272">
        <v>2160000</v>
      </c>
      <c r="O159" s="272">
        <v>2110000</v>
      </c>
      <c r="P159" s="272">
        <v>2110000</v>
      </c>
      <c r="Q159" s="272">
        <v>2128327</v>
      </c>
    </row>
    <row r="160" spans="1:20" s="10" customFormat="1" ht="15.6" x14ac:dyDescent="0.3">
      <c r="B160" s="259" t="s">
        <v>354</v>
      </c>
      <c r="C160" s="289">
        <v>264871</v>
      </c>
      <c r="D160" s="289">
        <v>1055969</v>
      </c>
      <c r="E160" s="289">
        <v>1241032</v>
      </c>
      <c r="F160" s="289">
        <v>1254001</v>
      </c>
      <c r="G160" s="289">
        <v>1386406</v>
      </c>
      <c r="H160" s="289">
        <v>1464770</v>
      </c>
      <c r="I160" s="289">
        <f>I159*0.809</f>
        <v>1434357</v>
      </c>
      <c r="J160" s="289">
        <v>1532112</v>
      </c>
      <c r="K160" s="272">
        <v>1675167</v>
      </c>
      <c r="L160" s="272">
        <v>1637000</v>
      </c>
      <c r="M160" s="272">
        <v>1626000</v>
      </c>
      <c r="N160" s="272">
        <v>1520000</v>
      </c>
      <c r="O160" s="272">
        <v>1730000</v>
      </c>
      <c r="P160" s="272">
        <v>1737000</v>
      </c>
      <c r="Q160" s="272">
        <v>1756524</v>
      </c>
    </row>
    <row r="161" spans="2:20" s="10" customFormat="1" ht="15.6" x14ac:dyDescent="0.3">
      <c r="B161" s="246" t="s">
        <v>353</v>
      </c>
      <c r="C161" s="289"/>
      <c r="D161" s="289"/>
      <c r="E161" s="289"/>
      <c r="F161" s="289"/>
      <c r="G161" s="289"/>
      <c r="H161" s="289"/>
      <c r="I161" s="289"/>
      <c r="J161" s="289"/>
      <c r="K161" s="272">
        <v>5064000</v>
      </c>
      <c r="L161" s="272">
        <v>9600000</v>
      </c>
      <c r="M161" s="272">
        <v>13450000</v>
      </c>
      <c r="N161" s="272">
        <v>14840000</v>
      </c>
      <c r="O161" s="272">
        <v>12200000</v>
      </c>
      <c r="P161" s="272">
        <v>11440000</v>
      </c>
      <c r="Q161" s="272">
        <v>12600000</v>
      </c>
    </row>
    <row r="162" spans="2:20" s="10" customFormat="1" ht="15.6" x14ac:dyDescent="0.3">
      <c r="B162" s="246" t="s">
        <v>356</v>
      </c>
      <c r="C162" s="289"/>
      <c r="D162" s="289"/>
      <c r="E162" s="289"/>
      <c r="F162" s="289"/>
      <c r="G162" s="289"/>
      <c r="H162" s="289"/>
      <c r="I162" s="289"/>
      <c r="J162" s="289"/>
      <c r="K162" s="272">
        <v>989000</v>
      </c>
      <c r="L162" s="272">
        <v>2327000</v>
      </c>
      <c r="M162" s="272">
        <v>2630000</v>
      </c>
      <c r="N162" s="272">
        <v>2580000</v>
      </c>
      <c r="O162" s="272">
        <v>2630000</v>
      </c>
      <c r="P162" s="272">
        <v>2610000</v>
      </c>
      <c r="Q162" s="272">
        <v>2590000</v>
      </c>
    </row>
    <row r="163" spans="2:20" s="10" customFormat="1" ht="15.6" x14ac:dyDescent="0.3">
      <c r="B163" s="246" t="s">
        <v>358</v>
      </c>
      <c r="C163" s="289"/>
      <c r="D163" s="289"/>
      <c r="E163" s="289"/>
      <c r="F163" s="289"/>
      <c r="G163" s="289"/>
      <c r="H163" s="289"/>
      <c r="I163" s="289"/>
      <c r="J163" s="289"/>
      <c r="K163" s="272">
        <f>K161*0.45</f>
        <v>2278800</v>
      </c>
      <c r="L163" s="272">
        <v>4300000</v>
      </c>
      <c r="M163" s="272">
        <v>6400000</v>
      </c>
      <c r="N163" s="272">
        <v>7060000</v>
      </c>
      <c r="O163" s="272">
        <v>5810000</v>
      </c>
      <c r="P163" s="272">
        <v>5440000</v>
      </c>
      <c r="Q163" s="272">
        <v>6000000</v>
      </c>
    </row>
    <row r="164" spans="2:20" s="6" customFormat="1" ht="15.6" x14ac:dyDescent="0.3">
      <c r="B164" s="254" t="s">
        <v>27</v>
      </c>
      <c r="C164" s="285"/>
      <c r="D164" s="285"/>
      <c r="E164" s="285"/>
      <c r="F164" s="285"/>
      <c r="G164" s="285"/>
      <c r="H164" s="285"/>
      <c r="I164" s="285"/>
      <c r="J164" s="285"/>
      <c r="K164" s="285"/>
      <c r="L164" s="285"/>
      <c r="M164" s="285"/>
      <c r="N164" s="285"/>
      <c r="O164" s="285"/>
      <c r="P164" s="285"/>
      <c r="Q164" s="285"/>
    </row>
    <row r="165" spans="2:20" ht="18" x14ac:dyDescent="0.4">
      <c r="B165" s="259" t="s">
        <v>549</v>
      </c>
      <c r="C165" s="243"/>
      <c r="D165" s="264"/>
      <c r="E165" s="264"/>
      <c r="F165" s="264"/>
      <c r="G165" s="264"/>
      <c r="H165" s="264"/>
      <c r="I165" s="264"/>
      <c r="J165" s="289">
        <f>(47077607*2.47)+(3885564*1.09)+(1532112*2.11)</f>
        <v>123749710.37</v>
      </c>
      <c r="K165" s="289">
        <f>(47875441*2.47)+(3281964*1.09)+(1675167*2.11)</f>
        <v>125364282.40000002</v>
      </c>
      <c r="L165" s="289"/>
      <c r="M165" s="289"/>
      <c r="N165" s="289"/>
      <c r="O165" s="289"/>
      <c r="P165" s="289"/>
      <c r="Q165" s="289"/>
      <c r="T165" s="475"/>
    </row>
    <row r="166" spans="2:20" ht="15.6" x14ac:dyDescent="0.3">
      <c r="B166" s="259"/>
      <c r="C166" s="243"/>
      <c r="D166" s="272"/>
      <c r="E166" s="272"/>
      <c r="F166" s="272"/>
      <c r="G166" s="272"/>
      <c r="H166" s="272"/>
      <c r="I166" s="272"/>
      <c r="J166" s="272"/>
      <c r="K166" s="272"/>
      <c r="L166" s="272"/>
      <c r="M166" s="264"/>
      <c r="N166" s="264"/>
      <c r="O166" s="264"/>
      <c r="P166" s="264"/>
      <c r="Q166" s="264"/>
      <c r="T166" s="475"/>
    </row>
    <row r="167" spans="2:20" ht="15.6" x14ac:dyDescent="0.3">
      <c r="B167" s="243"/>
      <c r="C167" s="286"/>
      <c r="D167" s="286"/>
      <c r="E167" s="286"/>
      <c r="F167" s="286"/>
      <c r="G167" s="286"/>
      <c r="H167" s="286"/>
      <c r="I167" s="287"/>
      <c r="J167" s="264"/>
      <c r="K167" s="264"/>
      <c r="L167" s="264"/>
      <c r="M167" s="264"/>
      <c r="N167" s="264"/>
      <c r="O167" s="264"/>
      <c r="P167" s="264"/>
      <c r="Q167" s="264"/>
      <c r="T167" s="475"/>
    </row>
    <row r="168" spans="2:20" ht="15.6" x14ac:dyDescent="0.3">
      <c r="B168" s="243"/>
      <c r="C168" s="243"/>
      <c r="D168" s="243"/>
      <c r="E168" s="243"/>
      <c r="F168" s="243"/>
      <c r="G168" s="243"/>
      <c r="H168" s="243"/>
      <c r="I168" s="264"/>
      <c r="J168" s="264"/>
      <c r="K168" s="264"/>
      <c r="L168" s="264"/>
      <c r="M168" s="264"/>
      <c r="N168" s="264"/>
      <c r="O168" s="264"/>
      <c r="P168" s="264"/>
      <c r="Q168" s="264"/>
      <c r="T168" s="475"/>
    </row>
    <row r="169" spans="2:20" s="6" customFormat="1" ht="15.6" x14ac:dyDescent="0.3">
      <c r="B169" s="255" t="s">
        <v>490</v>
      </c>
      <c r="C169" s="255"/>
      <c r="D169" s="290"/>
      <c r="E169" s="290"/>
      <c r="F169" s="290"/>
      <c r="G169" s="290"/>
      <c r="H169" s="290"/>
      <c r="I169" s="290"/>
      <c r="J169" s="290"/>
      <c r="K169" s="290"/>
      <c r="L169" s="290"/>
      <c r="M169" s="290"/>
      <c r="N169" s="290"/>
      <c r="O169" s="290"/>
      <c r="P169" s="290"/>
      <c r="Q169" s="290"/>
    </row>
    <row r="170" spans="2:20" s="6" customFormat="1" ht="15.6" x14ac:dyDescent="0.3">
      <c r="B170" s="256"/>
      <c r="C170" s="256">
        <v>2003</v>
      </c>
      <c r="D170" s="291">
        <v>2004</v>
      </c>
      <c r="E170" s="256">
        <v>2005</v>
      </c>
      <c r="F170" s="291">
        <v>2006</v>
      </c>
      <c r="G170" s="256">
        <v>2007</v>
      </c>
      <c r="H170" s="291">
        <v>2008</v>
      </c>
      <c r="I170" s="256">
        <v>2009</v>
      </c>
      <c r="J170" s="291">
        <v>2010</v>
      </c>
      <c r="K170" s="256">
        <v>2011</v>
      </c>
      <c r="L170" s="291">
        <v>2012</v>
      </c>
      <c r="M170" s="256">
        <v>2013</v>
      </c>
      <c r="N170" s="256">
        <v>2014</v>
      </c>
      <c r="O170" s="256">
        <v>2015</v>
      </c>
      <c r="P170" s="256">
        <v>2016</v>
      </c>
      <c r="Q170" s="256">
        <v>2017</v>
      </c>
    </row>
    <row r="171" spans="2:20" ht="15.6" x14ac:dyDescent="0.3">
      <c r="B171" s="257" t="s">
        <v>492</v>
      </c>
      <c r="C171" s="292">
        <f>C149</f>
        <v>3815673</v>
      </c>
      <c r="D171" s="292">
        <f t="shared" ref="D171:M171" si="1">D149</f>
        <v>9694400</v>
      </c>
      <c r="E171" s="292">
        <f t="shared" si="1"/>
        <v>10414158</v>
      </c>
      <c r="F171" s="292">
        <f t="shared" si="1"/>
        <v>10402884</v>
      </c>
      <c r="G171" s="292">
        <f t="shared" si="1"/>
        <v>10179364</v>
      </c>
      <c r="H171" s="292">
        <f t="shared" si="1"/>
        <v>10272886</v>
      </c>
      <c r="I171" s="292">
        <f t="shared" si="1"/>
        <v>8805990</v>
      </c>
      <c r="J171" s="292">
        <f t="shared" si="1"/>
        <v>9437651</v>
      </c>
      <c r="K171" s="292">
        <f t="shared" si="1"/>
        <v>10553444</v>
      </c>
      <c r="L171" s="292">
        <f t="shared" si="1"/>
        <v>11973610</v>
      </c>
      <c r="M171" s="292">
        <f t="shared" si="1"/>
        <v>12317553</v>
      </c>
      <c r="N171" s="292">
        <v>12863473</v>
      </c>
      <c r="O171" s="287">
        <v>12615168</v>
      </c>
      <c r="P171" s="287">
        <v>14115297</v>
      </c>
      <c r="Q171" s="287">
        <v>14671223</v>
      </c>
      <c r="T171" s="475"/>
    </row>
    <row r="172" spans="2:20" ht="37.5" customHeight="1" x14ac:dyDescent="0.3">
      <c r="B172" s="686" t="s">
        <v>493</v>
      </c>
      <c r="C172" s="686"/>
      <c r="D172" s="686"/>
      <c r="E172" s="686"/>
      <c r="F172" s="686"/>
      <c r="G172" s="686"/>
      <c r="H172" s="686"/>
      <c r="I172" s="686"/>
      <c r="J172" s="686"/>
      <c r="K172" s="686"/>
      <c r="L172" s="686"/>
      <c r="M172" s="686"/>
      <c r="T172" s="475"/>
    </row>
    <row r="175" spans="2:20" x14ac:dyDescent="0.3">
      <c r="B175" t="s">
        <v>496</v>
      </c>
      <c r="T175" s="475"/>
    </row>
  </sheetData>
  <mergeCells count="3">
    <mergeCell ref="B2:H2"/>
    <mergeCell ref="F1:H1"/>
    <mergeCell ref="B172:M172"/>
  </mergeCells>
  <pageMargins left="0.70866141732283472" right="0.70866141732283472" top="0.74803149606299213" bottom="0.74803149606299213" header="0.31496062992125984" footer="0.31496062992125984"/>
  <pageSetup paperSize="9" scale="36" fitToHeight="2" orientation="landscape" r:id="rId1"/>
  <headerFooter>
    <oddHeader>&amp;RPage &amp;P of &amp;N</oddHeader>
  </headerFooter>
  <ignoredErrors>
    <ignoredError sqref="K1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V59"/>
  <sheetViews>
    <sheetView topLeftCell="A23" zoomScale="90" zoomScaleNormal="90" workbookViewId="0">
      <pane xSplit="1" topLeftCell="B1" activePane="topRight" state="frozen"/>
      <selection pane="topRight" activeCell="A54" sqref="A54"/>
    </sheetView>
  </sheetViews>
  <sheetFormatPr defaultColWidth="8.77734375" defaultRowHeight="14.4" x14ac:dyDescent="0.3"/>
  <cols>
    <col min="1" max="1" width="2.44140625" style="6" customWidth="1"/>
    <col min="2" max="2" width="64.33203125" customWidth="1"/>
    <col min="3" max="3" width="12.33203125" customWidth="1"/>
    <col min="4" max="8" width="13.109375" customWidth="1"/>
    <col min="9" max="9" width="20.44140625" customWidth="1"/>
    <col min="10" max="10" width="19.109375" customWidth="1"/>
    <col min="11" max="11" width="16.44140625" customWidth="1"/>
    <col min="12" max="12" width="16.44140625" style="475" customWidth="1"/>
    <col min="13" max="13" width="16.44140625" customWidth="1"/>
    <col min="14" max="14" width="9.77734375" bestFit="1" customWidth="1"/>
  </cols>
  <sheetData>
    <row r="1" spans="2:13" ht="15" thickBot="1" x14ac:dyDescent="0.35">
      <c r="C1" s="124" t="s">
        <v>705</v>
      </c>
      <c r="D1" s="124"/>
    </row>
    <row r="2" spans="2:13" ht="29.25" customHeight="1" thickBot="1" x14ac:dyDescent="0.35">
      <c r="B2" s="687" t="s">
        <v>709</v>
      </c>
      <c r="C2" s="688"/>
      <c r="D2" s="689"/>
    </row>
    <row r="3" spans="2:13" x14ac:dyDescent="0.3">
      <c r="E3" s="54"/>
    </row>
    <row r="4" spans="2:13" ht="23.4" x14ac:dyDescent="0.45">
      <c r="B4" s="30" t="s">
        <v>58</v>
      </c>
      <c r="C4" s="5"/>
      <c r="D4" s="5"/>
      <c r="E4" s="5"/>
      <c r="F4" s="5"/>
      <c r="G4" s="5"/>
      <c r="H4" s="5"/>
      <c r="I4" s="5"/>
      <c r="J4" s="5"/>
      <c r="K4" s="5"/>
      <c r="L4" s="5"/>
      <c r="M4" s="5"/>
    </row>
    <row r="5" spans="2:13" x14ac:dyDescent="0.3">
      <c r="B5" s="32"/>
      <c r="C5" s="32">
        <v>2007</v>
      </c>
      <c r="D5" s="32">
        <v>2008</v>
      </c>
      <c r="E5" s="32">
        <v>2009</v>
      </c>
      <c r="F5" s="32">
        <v>2010</v>
      </c>
      <c r="G5" s="32">
        <v>2011</v>
      </c>
      <c r="H5" s="32">
        <v>2012</v>
      </c>
      <c r="I5" s="32">
        <v>2013</v>
      </c>
      <c r="J5" s="32">
        <v>2014</v>
      </c>
      <c r="K5" s="32">
        <v>2015</v>
      </c>
      <c r="L5" s="32">
        <v>2016</v>
      </c>
      <c r="M5" s="32">
        <v>2017</v>
      </c>
    </row>
    <row r="6" spans="2:13" x14ac:dyDescent="0.3">
      <c r="B6" s="11" t="s">
        <v>10</v>
      </c>
      <c r="C6" s="12"/>
      <c r="D6" s="12"/>
      <c r="E6" s="12"/>
      <c r="F6" s="12"/>
      <c r="G6" s="12"/>
      <c r="H6" s="12"/>
      <c r="I6" s="12"/>
      <c r="J6" s="12"/>
      <c r="K6" s="12"/>
      <c r="L6" s="12"/>
      <c r="M6" s="12"/>
    </row>
    <row r="7" spans="2:13" s="6" customFormat="1" ht="28.8" x14ac:dyDescent="0.3">
      <c r="B7" s="387" t="s">
        <v>592</v>
      </c>
      <c r="E7" s="16">
        <v>0.89</v>
      </c>
      <c r="F7" s="16">
        <v>0.82</v>
      </c>
      <c r="G7" s="16">
        <v>0.81</v>
      </c>
      <c r="H7" s="16">
        <v>0.8</v>
      </c>
      <c r="I7" s="16">
        <v>0.78</v>
      </c>
      <c r="J7" s="16">
        <v>0.76</v>
      </c>
      <c r="K7" s="16">
        <v>0.79</v>
      </c>
      <c r="L7" s="16">
        <v>0.76</v>
      </c>
      <c r="M7" s="16">
        <v>0.73</v>
      </c>
    </row>
    <row r="8" spans="2:13" x14ac:dyDescent="0.3">
      <c r="B8" s="27" t="s">
        <v>283</v>
      </c>
      <c r="C8" s="16">
        <v>1</v>
      </c>
      <c r="D8" s="16">
        <v>1</v>
      </c>
      <c r="E8" s="16">
        <v>1</v>
      </c>
      <c r="F8" s="16">
        <v>1</v>
      </c>
      <c r="G8" s="16">
        <v>1</v>
      </c>
      <c r="H8" s="16"/>
      <c r="I8" s="16"/>
      <c r="J8" s="16"/>
    </row>
    <row r="9" spans="2:13" x14ac:dyDescent="0.3">
      <c r="B9" s="27" t="s">
        <v>284</v>
      </c>
      <c r="C9" s="16"/>
      <c r="D9" s="16">
        <v>0.92</v>
      </c>
      <c r="E9" s="16"/>
      <c r="F9" s="16"/>
      <c r="G9" s="16"/>
      <c r="H9" s="16"/>
      <c r="I9" s="16"/>
      <c r="J9" s="16"/>
    </row>
    <row r="10" spans="2:13" s="6" customFormat="1" x14ac:dyDescent="0.3">
      <c r="B10" s="27" t="s">
        <v>43</v>
      </c>
      <c r="C10" s="16">
        <f t="shared" ref="C10:I10" si="0">C41/C40</f>
        <v>0.83870967741935487</v>
      </c>
      <c r="D10" s="16">
        <f t="shared" si="0"/>
        <v>0.93333333333333335</v>
      </c>
      <c r="E10" s="16">
        <f t="shared" si="0"/>
        <v>0.88385364216179929</v>
      </c>
      <c r="F10" s="16">
        <f t="shared" si="0"/>
        <v>0.81547809401982729</v>
      </c>
      <c r="G10" s="16">
        <f t="shared" si="0"/>
        <v>0.80698287220026355</v>
      </c>
      <c r="H10" s="16">
        <f t="shared" si="0"/>
        <v>0.79037005207404443</v>
      </c>
      <c r="I10" s="16">
        <f t="shared" si="0"/>
        <v>0.77972684656290581</v>
      </c>
      <c r="J10" s="16">
        <v>0.76</v>
      </c>
      <c r="K10" s="16">
        <v>0.78</v>
      </c>
      <c r="L10" s="16">
        <v>0.75</v>
      </c>
      <c r="M10" s="16">
        <v>0.72</v>
      </c>
    </row>
    <row r="11" spans="2:13" s="6" customFormat="1" x14ac:dyDescent="0.3">
      <c r="B11" s="27" t="s">
        <v>44</v>
      </c>
      <c r="C11" s="16">
        <f t="shared" ref="C11:I11" si="1">C43/C42</f>
        <v>0.96475770925110127</v>
      </c>
      <c r="D11" s="16">
        <f t="shared" si="1"/>
        <v>0.87445887445887449</v>
      </c>
      <c r="E11" s="16">
        <f t="shared" si="1"/>
        <v>1.0705882352941176</v>
      </c>
      <c r="F11" s="16">
        <f t="shared" si="1"/>
        <v>0.9719626168224299</v>
      </c>
      <c r="G11" s="16">
        <f t="shared" si="1"/>
        <v>0.91322314049586772</v>
      </c>
      <c r="H11" s="16">
        <f t="shared" si="1"/>
        <v>0.89385597800908057</v>
      </c>
      <c r="I11" s="16">
        <f t="shared" si="1"/>
        <v>0.81588481381901978</v>
      </c>
      <c r="J11" s="16">
        <v>0.81</v>
      </c>
      <c r="K11" s="16">
        <v>0.87</v>
      </c>
      <c r="L11" s="16">
        <v>0.88</v>
      </c>
      <c r="M11" s="16">
        <v>0.85</v>
      </c>
    </row>
    <row r="12" spans="2:13" s="6" customFormat="1" x14ac:dyDescent="0.3">
      <c r="B12" s="27" t="s">
        <v>45</v>
      </c>
      <c r="C12" s="16">
        <f t="shared" ref="C12:I12" si="2">C45/C44</f>
        <v>0.13333333333333333</v>
      </c>
      <c r="D12" s="16">
        <f t="shared" si="2"/>
        <v>0.1111111111111111</v>
      </c>
      <c r="E12" s="16">
        <f t="shared" si="2"/>
        <v>0.16666666666666666</v>
      </c>
      <c r="F12" s="16">
        <f t="shared" si="2"/>
        <v>0.16666666666666666</v>
      </c>
      <c r="G12" s="16">
        <f t="shared" si="2"/>
        <v>0.25</v>
      </c>
      <c r="H12" s="16">
        <f t="shared" si="2"/>
        <v>0.25039280102842448</v>
      </c>
      <c r="I12" s="16">
        <f t="shared" si="2"/>
        <v>0.68736684289434236</v>
      </c>
      <c r="J12" s="16">
        <v>0.72</v>
      </c>
      <c r="K12" s="16">
        <v>0.82</v>
      </c>
      <c r="L12" s="16">
        <v>0.69</v>
      </c>
      <c r="M12" s="16">
        <v>0.7</v>
      </c>
    </row>
    <row r="13" spans="2:13" s="6" customFormat="1" x14ac:dyDescent="0.3">
      <c r="B13" s="27" t="s">
        <v>46</v>
      </c>
      <c r="C13" s="16">
        <f t="shared" ref="C13:I13" si="3">C47/C46</f>
        <v>0.5</v>
      </c>
      <c r="D13" s="16">
        <f t="shared" si="3"/>
        <v>0.5</v>
      </c>
      <c r="E13" s="16">
        <f t="shared" si="3"/>
        <v>1</v>
      </c>
      <c r="F13" s="16">
        <f t="shared" si="3"/>
        <v>0.5</v>
      </c>
      <c r="G13" s="16">
        <f t="shared" si="3"/>
        <v>0.66666666666666663</v>
      </c>
      <c r="H13" s="16">
        <f t="shared" si="3"/>
        <v>0.83125487139516763</v>
      </c>
      <c r="I13" s="16">
        <f t="shared" si="3"/>
        <v>0.31365700314355571</v>
      </c>
      <c r="J13" s="16">
        <v>0.15</v>
      </c>
      <c r="K13" s="16">
        <v>0.53</v>
      </c>
      <c r="L13" s="16">
        <v>0.52</v>
      </c>
      <c r="M13" s="16">
        <v>0.45</v>
      </c>
    </row>
    <row r="14" spans="2:13" x14ac:dyDescent="0.3">
      <c r="B14" s="27" t="s">
        <v>18</v>
      </c>
      <c r="C14" s="6"/>
      <c r="D14" s="6"/>
    </row>
    <row r="15" spans="2:13" x14ac:dyDescent="0.3">
      <c r="B15" s="27" t="s">
        <v>19</v>
      </c>
      <c r="C15" s="6"/>
      <c r="D15" s="6"/>
    </row>
    <row r="16" spans="2:13" x14ac:dyDescent="0.3">
      <c r="B16" s="27" t="s">
        <v>20</v>
      </c>
      <c r="C16" s="6"/>
      <c r="D16" s="6"/>
    </row>
    <row r="17" spans="2:13" x14ac:dyDescent="0.3">
      <c r="B17" s="27" t="s">
        <v>21</v>
      </c>
      <c r="C17" s="6"/>
      <c r="D17" s="6"/>
    </row>
    <row r="18" spans="2:13" x14ac:dyDescent="0.3">
      <c r="B18" s="27" t="s">
        <v>22</v>
      </c>
      <c r="C18" s="6"/>
      <c r="D18" s="6"/>
    </row>
    <row r="19" spans="2:13" x14ac:dyDescent="0.3">
      <c r="B19" s="27" t="s">
        <v>23</v>
      </c>
      <c r="C19" s="6"/>
      <c r="D19" s="6"/>
    </row>
    <row r="20" spans="2:13" x14ac:dyDescent="0.3">
      <c r="B20" s="27" t="s">
        <v>24</v>
      </c>
      <c r="C20" s="6"/>
      <c r="D20" s="6"/>
    </row>
    <row r="21" spans="2:13" x14ac:dyDescent="0.3">
      <c r="B21" s="27" t="s">
        <v>25</v>
      </c>
      <c r="C21" s="6"/>
      <c r="D21" s="6"/>
    </row>
    <row r="22" spans="2:13" x14ac:dyDescent="0.3">
      <c r="B22" s="27" t="s">
        <v>26</v>
      </c>
      <c r="C22" s="6"/>
      <c r="D22" s="6"/>
    </row>
    <row r="23" spans="2:13" x14ac:dyDescent="0.3">
      <c r="B23" s="27" t="s">
        <v>56</v>
      </c>
      <c r="C23" s="7">
        <v>2000</v>
      </c>
      <c r="D23" s="7"/>
      <c r="E23">
        <v>2200</v>
      </c>
      <c r="F23">
        <v>2192</v>
      </c>
      <c r="G23">
        <v>2260</v>
      </c>
      <c r="H23">
        <v>1733</v>
      </c>
      <c r="I23">
        <v>1700</v>
      </c>
      <c r="J23">
        <v>1827</v>
      </c>
      <c r="K23">
        <v>1886</v>
      </c>
      <c r="L23" s="475">
        <v>1922</v>
      </c>
      <c r="M23">
        <v>2046</v>
      </c>
    </row>
    <row r="24" spans="2:13" x14ac:dyDescent="0.3">
      <c r="B24" s="27" t="s">
        <v>57</v>
      </c>
      <c r="C24" s="7">
        <v>600</v>
      </c>
      <c r="D24" s="7"/>
    </row>
    <row r="25" spans="2:13" x14ac:dyDescent="0.3">
      <c r="B25" s="27" t="s">
        <v>11</v>
      </c>
      <c r="C25" s="6">
        <v>0</v>
      </c>
      <c r="D25" s="6">
        <v>0</v>
      </c>
    </row>
    <row r="26" spans="2:13" x14ac:dyDescent="0.3">
      <c r="B26" s="27" t="s">
        <v>12</v>
      </c>
      <c r="C26" s="6">
        <v>0</v>
      </c>
      <c r="D26" s="6">
        <v>0</v>
      </c>
    </row>
    <row r="27" spans="2:13" x14ac:dyDescent="0.3">
      <c r="B27" s="27" t="s">
        <v>13</v>
      </c>
      <c r="C27" s="16">
        <v>0.8</v>
      </c>
      <c r="D27" s="16">
        <v>0.7</v>
      </c>
      <c r="E27" s="16">
        <v>0.63</v>
      </c>
      <c r="F27" s="16">
        <v>0.71</v>
      </c>
      <c r="G27" s="16">
        <v>0.88</v>
      </c>
      <c r="H27" s="134">
        <v>0.77</v>
      </c>
      <c r="I27" s="134">
        <v>0.73</v>
      </c>
      <c r="J27" s="134">
        <v>0.77</v>
      </c>
      <c r="K27" s="134">
        <v>0.72</v>
      </c>
      <c r="L27" s="134">
        <v>0.69499999999999995</v>
      </c>
      <c r="M27" s="134">
        <v>0.73499999999999999</v>
      </c>
    </row>
    <row r="28" spans="2:13" x14ac:dyDescent="0.3">
      <c r="B28" s="27" t="s">
        <v>14</v>
      </c>
      <c r="C28" s="16">
        <v>0.2</v>
      </c>
      <c r="D28" s="16">
        <v>0.3</v>
      </c>
      <c r="E28" s="16">
        <v>0.37</v>
      </c>
      <c r="F28" s="16">
        <v>0.28999999999999998</v>
      </c>
      <c r="G28" s="16">
        <v>0.12</v>
      </c>
      <c r="H28" s="134">
        <v>0.14499999999999999</v>
      </c>
      <c r="I28" s="134">
        <v>0.25</v>
      </c>
      <c r="J28" s="134">
        <v>0.22</v>
      </c>
      <c r="K28" s="134">
        <v>0.26</v>
      </c>
      <c r="L28" s="134">
        <v>0.28999999999999998</v>
      </c>
      <c r="M28" s="134">
        <v>0.26200000000000001</v>
      </c>
    </row>
    <row r="29" spans="2:13" x14ac:dyDescent="0.3">
      <c r="B29" s="27" t="s">
        <v>15</v>
      </c>
      <c r="C29" s="6">
        <v>0</v>
      </c>
      <c r="D29" s="6">
        <v>0</v>
      </c>
      <c r="H29" s="134">
        <v>8.5000000000000006E-2</v>
      </c>
      <c r="I29" s="134">
        <v>0.02</v>
      </c>
      <c r="J29" s="134">
        <v>0.01</v>
      </c>
      <c r="K29" s="134">
        <v>0.01</v>
      </c>
      <c r="L29" s="134">
        <v>6.0000000000000001E-3</v>
      </c>
      <c r="M29" s="134">
        <v>3.0000000000000001E-3</v>
      </c>
    </row>
    <row r="30" spans="2:13" x14ac:dyDescent="0.3">
      <c r="B30" s="11" t="s">
        <v>9</v>
      </c>
      <c r="C30" s="12"/>
      <c r="D30" s="12"/>
      <c r="E30" s="12"/>
      <c r="F30" s="12"/>
      <c r="G30" s="12"/>
      <c r="H30" s="12"/>
      <c r="I30" s="12"/>
      <c r="J30" s="12"/>
      <c r="K30" s="12"/>
      <c r="L30" s="12"/>
      <c r="M30" s="12"/>
    </row>
    <row r="31" spans="2:13" x14ac:dyDescent="0.3">
      <c r="B31" s="27" t="s">
        <v>29</v>
      </c>
      <c r="C31" s="8">
        <f>2200000+14829528</f>
        <v>17029528</v>
      </c>
      <c r="D31" s="8">
        <v>17578551</v>
      </c>
      <c r="E31" s="8">
        <v>16700091</v>
      </c>
      <c r="F31" s="8">
        <v>17886130</v>
      </c>
      <c r="G31" s="8">
        <v>17841148</v>
      </c>
      <c r="H31" s="8">
        <v>17968576</v>
      </c>
      <c r="I31" s="8">
        <v>19040939</v>
      </c>
      <c r="J31" s="8">
        <v>19862568</v>
      </c>
      <c r="K31" s="8">
        <v>20292045</v>
      </c>
      <c r="L31" s="8">
        <v>22337145</v>
      </c>
      <c r="M31" s="8">
        <v>24440346</v>
      </c>
    </row>
    <row r="32" spans="2:13" x14ac:dyDescent="0.3">
      <c r="B32" s="27" t="s">
        <v>30</v>
      </c>
      <c r="C32" s="8">
        <v>13026069</v>
      </c>
      <c r="D32" s="8">
        <v>15213768</v>
      </c>
      <c r="E32" s="8">
        <v>13724094</v>
      </c>
      <c r="F32" s="8">
        <v>15504750</v>
      </c>
      <c r="G32" s="8">
        <v>17098284</v>
      </c>
      <c r="H32" s="8">
        <v>18682318</v>
      </c>
      <c r="I32" s="8">
        <v>18201313</v>
      </c>
      <c r="J32" s="8">
        <v>20214603</v>
      </c>
      <c r="K32" s="8">
        <v>20617997</v>
      </c>
      <c r="L32" s="8">
        <v>20946150</v>
      </c>
      <c r="M32" s="8">
        <v>23193723</v>
      </c>
    </row>
    <row r="33" spans="1:13" x14ac:dyDescent="0.3">
      <c r="B33" s="27" t="s">
        <v>59</v>
      </c>
      <c r="C33" s="8">
        <v>11359989</v>
      </c>
      <c r="D33" s="8">
        <v>14152777</v>
      </c>
      <c r="E33" s="8">
        <v>12407176</v>
      </c>
      <c r="F33" s="8">
        <v>13890519</v>
      </c>
      <c r="G33" s="8">
        <v>14839167</v>
      </c>
      <c r="H33" s="8">
        <v>16224253</v>
      </c>
      <c r="I33" s="8">
        <v>15563645</v>
      </c>
      <c r="J33" s="8">
        <v>17669281</v>
      </c>
      <c r="K33" s="8">
        <v>18471378</v>
      </c>
      <c r="L33" s="8">
        <v>18801969</v>
      </c>
      <c r="M33" s="8">
        <v>21103007</v>
      </c>
    </row>
    <row r="34" spans="1:13" x14ac:dyDescent="0.3">
      <c r="B34" s="27" t="s">
        <v>61</v>
      </c>
      <c r="C34" s="8">
        <v>2986</v>
      </c>
      <c r="D34" s="8">
        <v>169560</v>
      </c>
      <c r="E34" s="8">
        <v>159177</v>
      </c>
      <c r="F34" s="8">
        <v>141093</v>
      </c>
      <c r="G34" s="8">
        <v>226352</v>
      </c>
      <c r="H34" s="8">
        <v>298262</v>
      </c>
      <c r="I34" s="8">
        <v>350383</v>
      </c>
      <c r="J34" s="8">
        <v>374253</v>
      </c>
      <c r="K34" s="8">
        <v>281674</v>
      </c>
      <c r="L34" s="8">
        <v>178738</v>
      </c>
      <c r="M34" s="8">
        <v>225810</v>
      </c>
    </row>
    <row r="35" spans="1:13" x14ac:dyDescent="0.3">
      <c r="B35" s="27" t="s">
        <v>60</v>
      </c>
      <c r="C35" s="8">
        <v>1106059</v>
      </c>
      <c r="D35" s="8">
        <v>745559</v>
      </c>
      <c r="E35" s="8">
        <v>843703</v>
      </c>
      <c r="F35" s="8">
        <v>970341</v>
      </c>
      <c r="G35" s="8">
        <v>1101635</v>
      </c>
      <c r="H35" s="8">
        <v>1232454</v>
      </c>
      <c r="I35" s="8">
        <v>1299866</v>
      </c>
      <c r="J35" s="8">
        <v>1239183</v>
      </c>
      <c r="K35" s="8">
        <v>1223464</v>
      </c>
      <c r="L35" s="8">
        <v>1276232</v>
      </c>
      <c r="M35" s="8">
        <v>1202215</v>
      </c>
    </row>
    <row r="36" spans="1:13" x14ac:dyDescent="0.3">
      <c r="B36" s="27" t="s">
        <v>7</v>
      </c>
      <c r="C36" s="8">
        <f t="shared" ref="C36:I36" si="4">C31-C32</f>
        <v>4003459</v>
      </c>
      <c r="D36" s="8">
        <f t="shared" si="4"/>
        <v>2364783</v>
      </c>
      <c r="E36" s="8">
        <f t="shared" si="4"/>
        <v>2975997</v>
      </c>
      <c r="F36" s="8">
        <f t="shared" si="4"/>
        <v>2381380</v>
      </c>
      <c r="G36" s="8">
        <f t="shared" si="4"/>
        <v>742864</v>
      </c>
      <c r="H36" s="57">
        <f t="shared" si="4"/>
        <v>-713742</v>
      </c>
      <c r="I36" s="8">
        <f t="shared" si="4"/>
        <v>839626</v>
      </c>
      <c r="J36" s="57">
        <v>-352035</v>
      </c>
      <c r="K36" s="57">
        <f>K31-K32</f>
        <v>-325952</v>
      </c>
      <c r="L36" s="8">
        <f>L31-L32</f>
        <v>1390995</v>
      </c>
      <c r="M36" s="8">
        <v>1246623</v>
      </c>
    </row>
    <row r="37" spans="1:13" x14ac:dyDescent="0.3">
      <c r="B37" s="27" t="s">
        <v>47</v>
      </c>
      <c r="C37" s="4">
        <v>14741538</v>
      </c>
      <c r="D37" s="4">
        <v>17440169</v>
      </c>
      <c r="E37" s="8">
        <v>16655092</v>
      </c>
      <c r="F37" s="8">
        <v>17756559</v>
      </c>
      <c r="G37" s="8">
        <v>17551819</v>
      </c>
      <c r="H37" s="8">
        <v>17566546</v>
      </c>
      <c r="I37" s="8">
        <v>18535761</v>
      </c>
      <c r="J37" s="8">
        <v>19197235</v>
      </c>
      <c r="K37" s="8">
        <v>20184134</v>
      </c>
      <c r="L37" s="8">
        <v>21775714</v>
      </c>
      <c r="M37" s="8">
        <v>24004704</v>
      </c>
    </row>
    <row r="38" spans="1:13" x14ac:dyDescent="0.3">
      <c r="B38" s="11" t="s">
        <v>8</v>
      </c>
      <c r="C38" s="12"/>
      <c r="D38" s="12"/>
      <c r="E38" s="12"/>
      <c r="F38" s="12"/>
      <c r="G38" s="12"/>
      <c r="H38" s="12"/>
      <c r="I38" s="12"/>
      <c r="J38" s="12"/>
      <c r="K38" s="12"/>
      <c r="L38" s="12"/>
      <c r="M38" s="12"/>
    </row>
    <row r="39" spans="1:13" x14ac:dyDescent="0.3">
      <c r="B39" s="27" t="s">
        <v>282</v>
      </c>
      <c r="C39" s="7">
        <v>3900000</v>
      </c>
      <c r="D39" s="7"/>
      <c r="E39" s="7"/>
      <c r="F39" s="7"/>
      <c r="G39" s="7"/>
      <c r="H39" s="7"/>
      <c r="I39" s="7"/>
      <c r="J39" s="7"/>
    </row>
    <row r="40" spans="1:13" x14ac:dyDescent="0.3">
      <c r="A40" s="10"/>
      <c r="B40" s="27" t="s">
        <v>48</v>
      </c>
      <c r="C40" s="7">
        <v>3100000</v>
      </c>
      <c r="D40" s="7">
        <v>3000000</v>
      </c>
      <c r="E40" s="7">
        <v>2979000</v>
      </c>
      <c r="F40" s="7">
        <v>3127000</v>
      </c>
      <c r="G40" s="7">
        <v>3036000</v>
      </c>
      <c r="H40" s="7">
        <v>2999767</v>
      </c>
      <c r="I40" s="7">
        <v>3139847</v>
      </c>
      <c r="J40" s="7">
        <v>3220987</v>
      </c>
      <c r="K40" s="7">
        <v>3404208</v>
      </c>
      <c r="L40" s="2">
        <v>3691151</v>
      </c>
      <c r="M40" s="8">
        <v>4121711</v>
      </c>
    </row>
    <row r="41" spans="1:13" x14ac:dyDescent="0.3">
      <c r="A41" s="10"/>
      <c r="B41" s="27" t="s">
        <v>49</v>
      </c>
      <c r="C41" s="7">
        <v>2600000</v>
      </c>
      <c r="D41" s="7">
        <v>2800000</v>
      </c>
      <c r="E41" s="7">
        <v>2633000</v>
      </c>
      <c r="F41" s="7">
        <v>2550000</v>
      </c>
      <c r="G41" s="7">
        <v>2450000</v>
      </c>
      <c r="H41" s="7">
        <v>2370926</v>
      </c>
      <c r="I41" s="7">
        <v>2448223</v>
      </c>
      <c r="J41" s="7">
        <v>2437633</v>
      </c>
      <c r="K41" s="7">
        <v>2665667</v>
      </c>
      <c r="L41" s="2">
        <v>2774255</v>
      </c>
      <c r="M41" s="8">
        <v>2984224</v>
      </c>
    </row>
    <row r="42" spans="1:13" x14ac:dyDescent="0.3">
      <c r="A42" s="10"/>
      <c r="B42" s="27" t="s">
        <v>50</v>
      </c>
      <c r="C42" s="7">
        <v>227000</v>
      </c>
      <c r="D42" s="7">
        <v>231000</v>
      </c>
      <c r="E42" s="7">
        <v>170000</v>
      </c>
      <c r="F42" s="7">
        <v>214000</v>
      </c>
      <c r="G42" s="7">
        <v>242000</v>
      </c>
      <c r="H42" s="7">
        <v>259016</v>
      </c>
      <c r="I42" s="7">
        <v>288993</v>
      </c>
      <c r="J42" s="7">
        <v>309474</v>
      </c>
      <c r="K42" s="7">
        <v>318670</v>
      </c>
      <c r="L42" s="2">
        <v>304042</v>
      </c>
      <c r="M42" s="8">
        <v>352998</v>
      </c>
    </row>
    <row r="43" spans="1:13" x14ac:dyDescent="0.3">
      <c r="A43" s="10"/>
      <c r="B43" s="27" t="s">
        <v>51</v>
      </c>
      <c r="C43" s="2">
        <v>219000</v>
      </c>
      <c r="D43" s="2">
        <v>202000</v>
      </c>
      <c r="E43" s="7">
        <v>182000</v>
      </c>
      <c r="F43" s="7">
        <v>208000</v>
      </c>
      <c r="G43" s="7">
        <v>221000</v>
      </c>
      <c r="H43" s="7">
        <v>231523</v>
      </c>
      <c r="I43" s="7">
        <v>235785</v>
      </c>
      <c r="J43" s="7">
        <v>250240</v>
      </c>
      <c r="K43" s="7">
        <v>277183</v>
      </c>
      <c r="L43" s="2">
        <v>268764</v>
      </c>
      <c r="M43" s="8">
        <v>299903</v>
      </c>
    </row>
    <row r="44" spans="1:13" x14ac:dyDescent="0.3">
      <c r="B44" s="27" t="s">
        <v>53</v>
      </c>
      <c r="C44" s="7">
        <v>15000</v>
      </c>
      <c r="D44" s="2">
        <v>18000</v>
      </c>
      <c r="E44" s="7">
        <v>12000</v>
      </c>
      <c r="F44" s="7">
        <v>12000</v>
      </c>
      <c r="G44" s="7">
        <v>12000</v>
      </c>
      <c r="H44" s="7">
        <v>14002</v>
      </c>
      <c r="I44" s="7">
        <v>12673</v>
      </c>
      <c r="J44" s="7">
        <v>15858</v>
      </c>
      <c r="K44" s="7">
        <v>13447</v>
      </c>
      <c r="L44" s="2">
        <v>15106</v>
      </c>
      <c r="M44" s="8">
        <v>16861</v>
      </c>
    </row>
    <row r="45" spans="1:13" x14ac:dyDescent="0.3">
      <c r="B45" s="27" t="s">
        <v>52</v>
      </c>
      <c r="C45" s="7">
        <v>2000</v>
      </c>
      <c r="D45" s="2">
        <v>2000</v>
      </c>
      <c r="E45" s="7">
        <v>2000</v>
      </c>
      <c r="F45" s="7">
        <v>2000</v>
      </c>
      <c r="G45" s="7">
        <v>3000</v>
      </c>
      <c r="H45" s="7">
        <v>3506</v>
      </c>
      <c r="I45" s="7">
        <v>8711</v>
      </c>
      <c r="J45" s="7">
        <v>11364</v>
      </c>
      <c r="K45" s="7">
        <v>11015</v>
      </c>
      <c r="L45" s="2">
        <v>10444</v>
      </c>
      <c r="M45" s="8">
        <v>11729</v>
      </c>
    </row>
    <row r="46" spans="1:13" x14ac:dyDescent="0.3">
      <c r="B46" s="27" t="s">
        <v>54</v>
      </c>
      <c r="C46" s="7">
        <v>2000</v>
      </c>
      <c r="D46" s="2">
        <v>2000</v>
      </c>
      <c r="E46" s="7">
        <v>1000</v>
      </c>
      <c r="F46" s="7">
        <v>2000</v>
      </c>
      <c r="G46" s="7">
        <v>3000</v>
      </c>
      <c r="H46" s="7">
        <v>2566</v>
      </c>
      <c r="I46" s="7">
        <v>2863</v>
      </c>
      <c r="J46" s="7">
        <v>3300</v>
      </c>
      <c r="K46" s="7">
        <v>3217</v>
      </c>
      <c r="L46" s="2">
        <v>3466</v>
      </c>
      <c r="M46" s="8">
        <v>2499</v>
      </c>
    </row>
    <row r="47" spans="1:13" x14ac:dyDescent="0.3">
      <c r="B47" s="27" t="s">
        <v>55</v>
      </c>
      <c r="C47" s="7">
        <v>1000</v>
      </c>
      <c r="D47" s="2">
        <v>1000</v>
      </c>
      <c r="E47" s="7">
        <v>1000</v>
      </c>
      <c r="F47" s="7">
        <v>1000</v>
      </c>
      <c r="G47" s="7">
        <v>2000</v>
      </c>
      <c r="H47" s="7">
        <v>2133</v>
      </c>
      <c r="I47" s="7">
        <v>898</v>
      </c>
      <c r="J47" s="7">
        <v>507</v>
      </c>
      <c r="K47" s="7">
        <v>1703</v>
      </c>
      <c r="L47" s="2">
        <v>1794</v>
      </c>
      <c r="M47" s="8">
        <v>1561</v>
      </c>
    </row>
    <row r="48" spans="1:13" s="205" customFormat="1" x14ac:dyDescent="0.3">
      <c r="A48" s="6"/>
      <c r="B48" s="27" t="s">
        <v>570</v>
      </c>
      <c r="C48" s="7">
        <f>SUM(C40,C42,C44,C46)</f>
        <v>3344000</v>
      </c>
      <c r="D48" s="7">
        <f t="shared" ref="D48:K48" si="5">SUM(D40,D42,D44,D46)</f>
        <v>3251000</v>
      </c>
      <c r="E48" s="7">
        <f t="shared" si="5"/>
        <v>3162000</v>
      </c>
      <c r="F48" s="7">
        <f t="shared" si="5"/>
        <v>3355000</v>
      </c>
      <c r="G48" s="7">
        <f t="shared" si="5"/>
        <v>3293000</v>
      </c>
      <c r="H48" s="7">
        <f t="shared" si="5"/>
        <v>3275351</v>
      </c>
      <c r="I48" s="7">
        <f t="shared" si="5"/>
        <v>3444376</v>
      </c>
      <c r="J48" s="7">
        <f t="shared" si="5"/>
        <v>3549619</v>
      </c>
      <c r="K48" s="7">
        <f t="shared" si="5"/>
        <v>3739542</v>
      </c>
      <c r="L48" s="7">
        <v>4013765</v>
      </c>
      <c r="M48" s="2">
        <v>4495069</v>
      </c>
    </row>
    <row r="49" spans="1:22" s="205" customFormat="1" x14ac:dyDescent="0.3">
      <c r="A49" s="6"/>
      <c r="B49" s="27" t="s">
        <v>571</v>
      </c>
      <c r="C49" s="7">
        <f>SUM(C41,C43,C45,C47)</f>
        <v>2822000</v>
      </c>
      <c r="D49" s="7">
        <f t="shared" ref="D49:K49" si="6">SUM(D41,D43,D45,D47)</f>
        <v>3005000</v>
      </c>
      <c r="E49" s="7">
        <f t="shared" si="6"/>
        <v>2818000</v>
      </c>
      <c r="F49" s="7">
        <f t="shared" si="6"/>
        <v>2761000</v>
      </c>
      <c r="G49" s="7">
        <f t="shared" si="6"/>
        <v>2676000</v>
      </c>
      <c r="H49" s="7">
        <f t="shared" si="6"/>
        <v>2608088</v>
      </c>
      <c r="I49" s="7">
        <f t="shared" si="6"/>
        <v>2693617</v>
      </c>
      <c r="J49" s="7">
        <f t="shared" si="6"/>
        <v>2699744</v>
      </c>
      <c r="K49" s="7">
        <f t="shared" si="6"/>
        <v>2955568</v>
      </c>
      <c r="L49" s="7">
        <v>3055257</v>
      </c>
      <c r="M49" s="2">
        <v>3297417</v>
      </c>
    </row>
    <row r="50" spans="1:22" x14ac:dyDescent="0.3">
      <c r="B50" s="11" t="s">
        <v>27</v>
      </c>
      <c r="C50" s="12"/>
      <c r="D50" s="12"/>
      <c r="E50" s="12"/>
      <c r="F50" s="12"/>
      <c r="G50" s="12"/>
      <c r="H50" s="12"/>
      <c r="I50" s="12"/>
      <c r="J50" s="12"/>
      <c r="K50" s="12"/>
      <c r="L50" s="12"/>
      <c r="M50" s="12"/>
    </row>
    <row r="51" spans="1:22" x14ac:dyDescent="0.3">
      <c r="B51" s="27" t="s">
        <v>28</v>
      </c>
      <c r="C51" s="6"/>
      <c r="D51" s="6"/>
      <c r="E51" s="2">
        <f>119304/40000*E52</f>
        <v>110356.20000000001</v>
      </c>
      <c r="F51" s="2">
        <f>119304/40000*F52</f>
        <v>113338.8</v>
      </c>
      <c r="G51" s="2">
        <f>119304/40000*G52</f>
        <v>110356.20000000001</v>
      </c>
      <c r="H51" s="2"/>
      <c r="I51" s="2"/>
      <c r="J51" s="2"/>
    </row>
    <row r="52" spans="1:22" x14ac:dyDescent="0.3">
      <c r="B52" s="27" t="s">
        <v>32</v>
      </c>
      <c r="C52" s="476">
        <v>40000</v>
      </c>
      <c r="D52" s="476">
        <v>40000</v>
      </c>
      <c r="E52" s="476">
        <v>37000</v>
      </c>
      <c r="F52" s="476">
        <v>38000</v>
      </c>
      <c r="G52" s="476">
        <v>37000</v>
      </c>
      <c r="H52" s="476">
        <v>37265</v>
      </c>
      <c r="I52" s="476">
        <v>39338</v>
      </c>
      <c r="J52" s="476">
        <v>40842</v>
      </c>
      <c r="K52" s="476">
        <v>44940</v>
      </c>
      <c r="L52" s="476">
        <v>43668</v>
      </c>
      <c r="M52" s="476">
        <v>49649</v>
      </c>
    </row>
    <row r="55" spans="1:22" s="6" customFormat="1" ht="23.4" x14ac:dyDescent="0.45">
      <c r="B55" s="166" t="s">
        <v>490</v>
      </c>
      <c r="C55" s="166"/>
      <c r="D55" s="167"/>
      <c r="E55" s="167"/>
      <c r="F55" s="167"/>
      <c r="G55" s="167"/>
      <c r="H55" s="167"/>
      <c r="I55" s="167"/>
      <c r="J55" s="167"/>
      <c r="K55" s="167"/>
      <c r="L55" s="167"/>
      <c r="M55" s="167"/>
    </row>
    <row r="56" spans="1:22" s="6" customFormat="1" x14ac:dyDescent="0.3">
      <c r="B56" s="168"/>
      <c r="C56" s="168">
        <v>2007</v>
      </c>
      <c r="D56" s="165">
        <v>2008</v>
      </c>
      <c r="E56" s="168">
        <v>2009</v>
      </c>
      <c r="F56" s="165">
        <v>2010</v>
      </c>
      <c r="G56" s="168">
        <v>2011</v>
      </c>
      <c r="H56" s="165">
        <v>2012</v>
      </c>
      <c r="I56" s="168">
        <v>2013</v>
      </c>
      <c r="J56" s="168">
        <v>2014</v>
      </c>
      <c r="K56" s="168">
        <v>2015</v>
      </c>
      <c r="L56" s="168">
        <v>2016</v>
      </c>
      <c r="M56" s="168">
        <v>2017</v>
      </c>
    </row>
    <row r="57" spans="1:22" x14ac:dyDescent="0.3">
      <c r="B57" s="52" t="s">
        <v>492</v>
      </c>
      <c r="C57" s="164">
        <f>C32</f>
        <v>13026069</v>
      </c>
      <c r="D57" s="164">
        <f t="shared" ref="D57:I57" si="7">D32</f>
        <v>15213768</v>
      </c>
      <c r="E57" s="164">
        <f t="shared" si="7"/>
        <v>13724094</v>
      </c>
      <c r="F57" s="164">
        <f t="shared" si="7"/>
        <v>15504750</v>
      </c>
      <c r="G57" s="164">
        <f t="shared" si="7"/>
        <v>17098284</v>
      </c>
      <c r="H57" s="164">
        <f t="shared" si="7"/>
        <v>18682318</v>
      </c>
      <c r="I57" s="164">
        <f t="shared" si="7"/>
        <v>18201313</v>
      </c>
      <c r="J57" s="164">
        <v>20214603</v>
      </c>
      <c r="K57" s="164">
        <f>K32</f>
        <v>20617997</v>
      </c>
      <c r="L57" s="164">
        <f>L32</f>
        <v>20946150</v>
      </c>
      <c r="M57" s="513">
        <f>M32</f>
        <v>23193723</v>
      </c>
      <c r="N57" s="6"/>
      <c r="O57" s="6"/>
      <c r="P57" s="6"/>
      <c r="Q57" s="6"/>
      <c r="R57" s="6"/>
      <c r="S57" s="6"/>
      <c r="T57" s="6"/>
      <c r="U57" s="6"/>
      <c r="V57" s="6"/>
    </row>
    <row r="58" spans="1:22" x14ac:dyDescent="0.3">
      <c r="B58" s="179" t="s">
        <v>494</v>
      </c>
      <c r="C58" s="8">
        <f>C32-C33</f>
        <v>1666080</v>
      </c>
      <c r="D58" s="8">
        <f t="shared" ref="D58:M58" si="8">D32-D33</f>
        <v>1060991</v>
      </c>
      <c r="E58" s="8">
        <f t="shared" si="8"/>
        <v>1316918</v>
      </c>
      <c r="F58" s="8">
        <f t="shared" si="8"/>
        <v>1614231</v>
      </c>
      <c r="G58" s="8">
        <f t="shared" si="8"/>
        <v>2259117</v>
      </c>
      <c r="H58" s="8">
        <f t="shared" si="8"/>
        <v>2458065</v>
      </c>
      <c r="I58" s="8">
        <f t="shared" si="8"/>
        <v>2637668</v>
      </c>
      <c r="J58" s="8">
        <f t="shared" si="8"/>
        <v>2545322</v>
      </c>
      <c r="K58" s="8">
        <f t="shared" si="8"/>
        <v>2146619</v>
      </c>
      <c r="L58" s="8">
        <f t="shared" si="8"/>
        <v>2144181</v>
      </c>
      <c r="M58" s="8">
        <f t="shared" si="8"/>
        <v>2090716</v>
      </c>
    </row>
    <row r="59" spans="1:22" ht="31.5" customHeight="1" x14ac:dyDescent="0.3">
      <c r="B59" s="686" t="s">
        <v>493</v>
      </c>
      <c r="C59" s="686"/>
      <c r="D59" s="686"/>
      <c r="E59" s="686"/>
      <c r="F59" s="686"/>
      <c r="G59" s="686"/>
      <c r="H59" s="686"/>
      <c r="I59" s="686"/>
      <c r="J59" s="178"/>
      <c r="K59" s="178"/>
      <c r="L59" s="178"/>
      <c r="M59" s="178"/>
      <c r="N59" s="178"/>
    </row>
  </sheetData>
  <mergeCells count="2">
    <mergeCell ref="B2:D2"/>
    <mergeCell ref="B59:I59"/>
  </mergeCells>
  <pageMargins left="0.7" right="0.7" top="0.75" bottom="0.75" header="0.3" footer="0.3"/>
  <pageSetup paperSize="9" scale="56" fitToHeight="0" orientation="portrait" r:id="rId1"/>
  <headerFooter>
    <oddHeader>&amp;RPage &amp;P of &amp;N</oddHeader>
  </headerFooter>
  <ignoredErrors>
    <ignoredError sqref="F10:F13 G10:G13 H10:H13 I10:I13" evalErro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Z384"/>
  <sheetViews>
    <sheetView topLeftCell="A25" zoomScale="85" zoomScaleNormal="85" workbookViewId="0">
      <pane xSplit="3" topLeftCell="D1" activePane="topRight" state="frozen"/>
      <selection activeCell="A55" sqref="A55"/>
      <selection pane="topRight" activeCell="B86" sqref="B86:C86"/>
    </sheetView>
  </sheetViews>
  <sheetFormatPr defaultColWidth="8.77734375" defaultRowHeight="14.4" x14ac:dyDescent="0.3"/>
  <cols>
    <col min="1" max="1" width="3.33203125" style="6" customWidth="1"/>
    <col min="2" max="2" width="48.6640625" customWidth="1"/>
    <col min="3" max="3" width="19.44140625" customWidth="1"/>
    <col min="4" max="9" width="10.44140625" customWidth="1"/>
    <col min="10" max="10" width="11.77734375" customWidth="1"/>
    <col min="11" max="11" width="12" customWidth="1"/>
    <col min="12" max="12" width="11.44140625" customWidth="1"/>
    <col min="13" max="18" width="11.44140625" style="6" customWidth="1"/>
    <col min="19" max="20" width="10.44140625" style="6" bestFit="1" customWidth="1"/>
    <col min="21" max="21" width="10.44140625" bestFit="1" customWidth="1"/>
    <col min="22" max="22" width="10.33203125" bestFit="1" customWidth="1"/>
    <col min="23" max="23" width="10.6640625" customWidth="1"/>
    <col min="24" max="30" width="8.6640625" customWidth="1"/>
    <col min="31" max="31" width="10.44140625" bestFit="1" customWidth="1"/>
  </cols>
  <sheetData>
    <row r="1" spans="1:104" ht="15" thickBot="1" x14ac:dyDescent="0.35">
      <c r="J1" s="685" t="s">
        <v>745</v>
      </c>
      <c r="K1" s="685"/>
      <c r="L1" s="685"/>
    </row>
    <row r="2" spans="1:104" ht="29.4" thickBot="1" x14ac:dyDescent="0.6">
      <c r="B2" s="135" t="s">
        <v>728</v>
      </c>
      <c r="C2" s="136"/>
      <c r="D2" s="136"/>
      <c r="E2" s="136"/>
      <c r="F2" s="136"/>
      <c r="G2" s="136"/>
      <c r="H2" s="136"/>
      <c r="I2" s="136"/>
      <c r="J2" s="136"/>
      <c r="K2" s="136"/>
      <c r="L2" s="137"/>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row>
    <row r="3" spans="1:104" x14ac:dyDescent="0.3">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row>
    <row r="4" spans="1:104" s="5" customFormat="1" ht="23.4" x14ac:dyDescent="0.45">
      <c r="A4" s="6"/>
      <c r="B4" s="30" t="s">
        <v>62</v>
      </c>
      <c r="C4" s="30"/>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row>
    <row r="5" spans="1:104" s="6" customFormat="1" x14ac:dyDescent="0.3">
      <c r="B5" s="32"/>
      <c r="C5" s="32"/>
      <c r="D5" s="32">
        <v>2000</v>
      </c>
      <c r="E5" s="32">
        <v>2001</v>
      </c>
      <c r="F5" s="32">
        <v>2002</v>
      </c>
      <c r="G5" s="32">
        <v>2003</v>
      </c>
      <c r="H5" s="32">
        <v>2004</v>
      </c>
      <c r="I5" s="32">
        <v>2005</v>
      </c>
      <c r="J5" s="32">
        <v>2006</v>
      </c>
      <c r="K5" s="32">
        <v>2007</v>
      </c>
      <c r="L5" s="32">
        <v>2008</v>
      </c>
      <c r="M5" s="32">
        <v>2009</v>
      </c>
      <c r="N5" s="32">
        <v>2010</v>
      </c>
      <c r="O5" s="32">
        <v>2011</v>
      </c>
      <c r="P5" s="32">
        <v>2012</v>
      </c>
      <c r="Q5" s="32">
        <v>2013</v>
      </c>
      <c r="R5" s="32">
        <v>2014</v>
      </c>
      <c r="S5" s="32">
        <v>2015</v>
      </c>
      <c r="T5" s="32">
        <v>2016</v>
      </c>
      <c r="U5" s="32">
        <v>2017</v>
      </c>
    </row>
    <row r="6" spans="1:104" s="12" customFormat="1" x14ac:dyDescent="0.3">
      <c r="A6" s="6"/>
      <c r="B6" s="11" t="s">
        <v>10</v>
      </c>
      <c r="C6" s="11"/>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row>
    <row r="7" spans="1:104" x14ac:dyDescent="0.3">
      <c r="B7" s="693" t="s">
        <v>161</v>
      </c>
      <c r="C7" s="690"/>
      <c r="D7" s="16"/>
      <c r="E7" s="16"/>
      <c r="F7" s="6"/>
      <c r="K7" s="1">
        <v>6.5000000000000002E-2</v>
      </c>
      <c r="L7" s="1">
        <v>7.6999999999999999E-2</v>
      </c>
      <c r="M7" s="1">
        <v>9.1999999999999998E-2</v>
      </c>
      <c r="N7" s="16">
        <v>8.4000000000000005E-2</v>
      </c>
      <c r="O7" s="16">
        <v>9.6000000000000002E-2</v>
      </c>
      <c r="P7" s="16">
        <v>0.10199999999999999</v>
      </c>
      <c r="Q7" s="16">
        <v>0.1052</v>
      </c>
      <c r="R7" s="16">
        <v>0.108</v>
      </c>
      <c r="S7" s="16">
        <v>0.11</v>
      </c>
      <c r="T7" s="16">
        <v>0.1125</v>
      </c>
      <c r="U7" s="16">
        <v>0.108</v>
      </c>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row>
    <row r="8" spans="1:104" x14ac:dyDescent="0.3">
      <c r="B8" s="693" t="s">
        <v>162</v>
      </c>
      <c r="C8" s="690"/>
      <c r="D8" s="16"/>
      <c r="E8" s="16"/>
      <c r="F8" s="6"/>
      <c r="K8" s="1">
        <v>1.6E-2</v>
      </c>
      <c r="L8" s="1">
        <v>1.7000000000000001E-2</v>
      </c>
      <c r="M8" s="1">
        <v>1.7000000000000001E-2</v>
      </c>
      <c r="N8" s="16">
        <v>5.5E-2</v>
      </c>
      <c r="O8" s="16">
        <v>3.6000000000000004E-2</v>
      </c>
      <c r="P8" s="16">
        <v>3.9E-2</v>
      </c>
      <c r="Q8" s="16">
        <v>3.2899999999999999E-2</v>
      </c>
      <c r="R8" s="16">
        <v>3.6999999999999998E-2</v>
      </c>
      <c r="S8" s="16">
        <v>3.9E-2</v>
      </c>
      <c r="T8" s="16">
        <v>4.2299999999999997E-2</v>
      </c>
      <c r="U8" s="16">
        <v>4.7E-2</v>
      </c>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row>
    <row r="9" spans="1:104" x14ac:dyDescent="0.3">
      <c r="B9" s="693" t="s">
        <v>163</v>
      </c>
      <c r="C9" s="690"/>
      <c r="D9" s="16"/>
      <c r="E9" s="16"/>
      <c r="F9" s="6"/>
      <c r="K9" s="1">
        <v>1.4999999999999999E-2</v>
      </c>
      <c r="L9" s="1">
        <v>2.3E-2</v>
      </c>
      <c r="M9" s="1">
        <v>2.5999999999999999E-2</v>
      </c>
      <c r="N9" s="16">
        <v>2.6000000000000002E-2</v>
      </c>
      <c r="O9" s="16">
        <v>2.7999999999999997E-2</v>
      </c>
      <c r="P9" s="16">
        <v>3.9E-2</v>
      </c>
      <c r="Q9" s="16">
        <v>3.1E-2</v>
      </c>
      <c r="R9" s="16">
        <v>3.5999999999999997E-2</v>
      </c>
      <c r="S9" s="16">
        <v>4.4999999999999998E-2</v>
      </c>
      <c r="T9" s="16">
        <v>5.5300000000000002E-2</v>
      </c>
      <c r="U9" s="16">
        <v>5.1999999999999998E-2</v>
      </c>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row>
    <row r="10" spans="1:104" x14ac:dyDescent="0.3">
      <c r="B10" s="693" t="s">
        <v>164</v>
      </c>
      <c r="C10" s="690"/>
      <c r="D10" s="16"/>
      <c r="E10" s="16"/>
      <c r="F10" s="6"/>
      <c r="K10" s="1">
        <v>7.0000000000000007E-2</v>
      </c>
      <c r="L10" s="1">
        <v>8.4000000000000005E-2</v>
      </c>
      <c r="M10" s="1">
        <v>0.10199999999999999</v>
      </c>
      <c r="N10" s="16">
        <v>9.0999999999999998E-2</v>
      </c>
      <c r="O10" s="16">
        <v>0.10800000000000001</v>
      </c>
      <c r="P10" s="16">
        <v>0.19899999999999998</v>
      </c>
      <c r="Q10" s="16">
        <v>0.11990000000000001</v>
      </c>
      <c r="R10" s="16">
        <v>0.14099999999999999</v>
      </c>
      <c r="S10" s="16">
        <v>0.217</v>
      </c>
      <c r="T10" s="16">
        <v>0.23719999999999999</v>
      </c>
      <c r="U10" s="16">
        <v>0.18099999999999999</v>
      </c>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row>
    <row r="11" spans="1:104" s="19" customFormat="1" x14ac:dyDescent="0.3">
      <c r="A11" s="10"/>
      <c r="B11" s="34" t="s">
        <v>193</v>
      </c>
      <c r="C11" s="27" t="s">
        <v>166</v>
      </c>
      <c r="D11" s="10"/>
      <c r="E11" s="10"/>
      <c r="F11" s="10"/>
      <c r="G11" s="10"/>
      <c r="H11" s="10"/>
      <c r="I11" s="10"/>
      <c r="J11" s="10"/>
      <c r="K11" s="61">
        <f>$K98/$K99</f>
        <v>3.3399704541075214E-3</v>
      </c>
      <c r="L11" s="61">
        <f>L98/L99</f>
        <v>3.3404383927719277E-3</v>
      </c>
      <c r="M11" s="61">
        <f>M98/M99</f>
        <v>2.8103343659183085E-3</v>
      </c>
      <c r="N11" s="61">
        <f t="shared" ref="N11:S11" si="0">N98/N99</f>
        <v>3.5779318276203558E-3</v>
      </c>
      <c r="O11" s="61">
        <f t="shared" si="0"/>
        <v>3.6730945821854912E-3</v>
      </c>
      <c r="P11" s="61">
        <f t="shared" si="0"/>
        <v>4.0312260046071156E-3</v>
      </c>
      <c r="Q11" s="61">
        <f t="shared" si="0"/>
        <v>4.0825584032660464E-3</v>
      </c>
      <c r="R11" s="61">
        <f t="shared" si="0"/>
        <v>3.756963337219847E-3</v>
      </c>
      <c r="S11" s="61">
        <f t="shared" si="0"/>
        <v>4.5838038929117116E-3</v>
      </c>
      <c r="T11" s="61">
        <f>T98/T99</f>
        <v>4.6417759838546921E-3</v>
      </c>
      <c r="U11" s="61"/>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row>
    <row r="12" spans="1:104" s="19" customFormat="1" x14ac:dyDescent="0.3">
      <c r="A12" s="10"/>
      <c r="B12" s="35" t="s">
        <v>193</v>
      </c>
      <c r="C12" s="45" t="s">
        <v>167</v>
      </c>
      <c r="K12" s="26">
        <f>K101/K102</f>
        <v>2.885290218606223E-3</v>
      </c>
      <c r="L12" s="62">
        <f>L101/L102</f>
        <v>2.9136477322538224E-3</v>
      </c>
      <c r="M12" s="26">
        <f t="shared" ref="M12:R12" si="1">M101/M102</f>
        <v>2.6037638566640889E-3</v>
      </c>
      <c r="N12" s="62">
        <f t="shared" si="1"/>
        <v>3.5433873763638219E-3</v>
      </c>
      <c r="O12" s="26">
        <f t="shared" si="1"/>
        <v>2.6563087332414485E-3</v>
      </c>
      <c r="P12" s="62">
        <f t="shared" si="1"/>
        <v>2.7257495811348121E-3</v>
      </c>
      <c r="Q12" s="26">
        <f t="shared" si="1"/>
        <v>2.5707582488893326E-3</v>
      </c>
      <c r="R12" s="26">
        <f t="shared" si="1"/>
        <v>1.9808354173372622E-3</v>
      </c>
      <c r="S12" s="26">
        <f>S101/S102</f>
        <v>3.3752531439857989E-3</v>
      </c>
      <c r="T12" s="26">
        <f>T101/T102</f>
        <v>2.5877225565213084E-3</v>
      </c>
      <c r="U12" s="26"/>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row>
    <row r="13" spans="1:104" s="19" customFormat="1" x14ac:dyDescent="0.3">
      <c r="A13" s="10"/>
      <c r="B13" s="34" t="s">
        <v>193</v>
      </c>
      <c r="C13" s="27" t="s">
        <v>168</v>
      </c>
      <c r="D13" s="10"/>
      <c r="E13" s="10"/>
      <c r="F13" s="10"/>
      <c r="G13" s="10"/>
      <c r="H13" s="10"/>
      <c r="I13" s="10"/>
      <c r="J13" s="10"/>
      <c r="K13" s="61">
        <f>K104/K105</f>
        <v>7.5018370482531349E-3</v>
      </c>
      <c r="L13" s="61">
        <f>L104/L105</f>
        <v>7.7649741103435017E-3</v>
      </c>
      <c r="M13" s="61">
        <f t="shared" ref="M13:R13" si="2">M104/M105</f>
        <v>7.4690806036676813E-3</v>
      </c>
      <c r="N13" s="61">
        <f t="shared" si="2"/>
        <v>7.4209786775438933E-3</v>
      </c>
      <c r="O13" s="61">
        <f t="shared" si="2"/>
        <v>7.6097836967402195E-3</v>
      </c>
      <c r="P13" s="61">
        <f t="shared" si="2"/>
        <v>7.1204954802336455E-3</v>
      </c>
      <c r="Q13" s="61">
        <f t="shared" si="2"/>
        <v>6.941941739727688E-3</v>
      </c>
      <c r="R13" s="61">
        <f t="shared" si="2"/>
        <v>7.7081481919009402E-3</v>
      </c>
      <c r="S13" s="61">
        <f>S104/S105</f>
        <v>8.3243120200948099E-3</v>
      </c>
      <c r="T13" s="61">
        <f>T104/T105</f>
        <v>8.7802009695670917E-3</v>
      </c>
      <c r="U13" s="61"/>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row>
    <row r="14" spans="1:104" x14ac:dyDescent="0.3">
      <c r="A14" s="10"/>
      <c r="B14" s="35" t="s">
        <v>193</v>
      </c>
      <c r="C14" s="45" t="s">
        <v>169</v>
      </c>
      <c r="D14" s="19"/>
      <c r="E14" s="19"/>
      <c r="F14" s="19"/>
      <c r="G14" s="19"/>
      <c r="H14" s="19"/>
      <c r="I14" s="19"/>
      <c r="J14" s="19"/>
      <c r="K14" s="26">
        <f>K107/K108</f>
        <v>1.7182672299640583E-3</v>
      </c>
      <c r="L14" s="62">
        <f>L107/L108</f>
        <v>1.9512497289930933E-3</v>
      </c>
      <c r="M14" s="26">
        <f t="shared" ref="M14:R14" si="3">M107/M108</f>
        <v>1.9117135905457074E-3</v>
      </c>
      <c r="N14" s="62">
        <f t="shared" si="3"/>
        <v>2.3142644284876441E-3</v>
      </c>
      <c r="O14" s="26">
        <f t="shared" si="3"/>
        <v>2.2585841993871814E-3</v>
      </c>
      <c r="P14" s="62">
        <f t="shared" si="3"/>
        <v>2.1714666117195794E-3</v>
      </c>
      <c r="Q14" s="26">
        <f t="shared" si="3"/>
        <v>2.4966208157748272E-3</v>
      </c>
      <c r="R14" s="26">
        <f t="shared" si="3"/>
        <v>3.0264617334812234E-2</v>
      </c>
      <c r="S14" s="26">
        <f>S107/S108</f>
        <v>3.7421903859434979E-3</v>
      </c>
      <c r="T14" s="26">
        <f>T107/T108</f>
        <v>3.5635626119060069E-3</v>
      </c>
      <c r="U14" s="2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row>
    <row r="15" spans="1:104" x14ac:dyDescent="0.3">
      <c r="A15" s="10"/>
      <c r="B15" s="34" t="s">
        <v>193</v>
      </c>
      <c r="C15" s="27" t="s">
        <v>170</v>
      </c>
      <c r="D15" s="10"/>
      <c r="E15" s="10"/>
      <c r="F15" s="10"/>
      <c r="G15" s="10"/>
      <c r="H15" s="10"/>
      <c r="I15" s="10"/>
      <c r="J15" s="10"/>
      <c r="K15" s="61">
        <f>K110/K111</f>
        <v>2.8400126222783212E-3</v>
      </c>
      <c r="L15" s="61">
        <f>L110/L111</f>
        <v>2.2443090734209684E-3</v>
      </c>
      <c r="M15" s="61">
        <f t="shared" ref="M15:R15" si="4">M110/M111</f>
        <v>1.8467220683287165E-3</v>
      </c>
      <c r="N15" s="61">
        <f t="shared" si="4"/>
        <v>1.8433179723502304E-3</v>
      </c>
      <c r="O15" s="61">
        <f t="shared" si="4"/>
        <v>1.2206286237412267E-3</v>
      </c>
      <c r="P15" s="61">
        <f t="shared" si="4"/>
        <v>1.8126888217522659E-3</v>
      </c>
      <c r="Q15" s="61">
        <f t="shared" si="4"/>
        <v>2.7581979773214833E-3</v>
      </c>
      <c r="R15" s="61">
        <f t="shared" si="4"/>
        <v>4.6296296296296294E-3</v>
      </c>
      <c r="S15" s="61">
        <f>S110/S111</f>
        <v>4.3791054113231156E-3</v>
      </c>
      <c r="T15" s="61">
        <f>T110/T111</f>
        <v>6.1576354679802959E-3</v>
      </c>
      <c r="U15" s="61"/>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row>
    <row r="16" spans="1:104" x14ac:dyDescent="0.3">
      <c r="A16" s="10"/>
      <c r="B16" s="35" t="s">
        <v>193</v>
      </c>
      <c r="C16" s="45" t="s">
        <v>171</v>
      </c>
      <c r="D16" s="19"/>
      <c r="E16" s="19"/>
      <c r="F16" s="19"/>
      <c r="G16" s="19"/>
      <c r="H16" s="19"/>
      <c r="I16" s="19"/>
      <c r="J16" s="19"/>
      <c r="K16" s="26">
        <f>K113/K114</f>
        <v>3.9574401610747573E-3</v>
      </c>
      <c r="L16" s="62">
        <f>L113/L114</f>
        <v>4.05242721738983E-3</v>
      </c>
      <c r="M16" s="26">
        <f t="shared" ref="M16:R16" si="5">M113/M114</f>
        <v>3.9559390239743549E-3</v>
      </c>
      <c r="N16" s="62">
        <f t="shared" si="5"/>
        <v>3.9774948581530146E-3</v>
      </c>
      <c r="O16" s="26">
        <f t="shared" si="5"/>
        <v>3.9968295191999594E-3</v>
      </c>
      <c r="P16" s="62">
        <f t="shared" si="5"/>
        <v>4.6593776282590413E-3</v>
      </c>
      <c r="Q16" s="26">
        <f t="shared" si="5"/>
        <v>4.4287277932137745E-3</v>
      </c>
      <c r="R16" s="26">
        <f t="shared" si="5"/>
        <v>5.3321780280939134E-3</v>
      </c>
      <c r="S16" s="26">
        <f>S113/S114</f>
        <v>5.2911813643926791E-3</v>
      </c>
      <c r="T16" s="26">
        <f>T113/T114</f>
        <v>5.4134101192924722E-3</v>
      </c>
      <c r="U16" s="2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row>
    <row r="17" spans="1:104" s="19" customFormat="1" x14ac:dyDescent="0.3">
      <c r="A17" s="10"/>
      <c r="B17" s="34" t="s">
        <v>193</v>
      </c>
      <c r="C17" s="27" t="s">
        <v>172</v>
      </c>
      <c r="D17" s="10"/>
      <c r="E17" s="10"/>
      <c r="F17" s="10"/>
      <c r="G17" s="10"/>
      <c r="H17" s="10"/>
      <c r="I17" s="10"/>
      <c r="J17" s="10"/>
      <c r="K17" s="61">
        <f>K116/K117</f>
        <v>4.4125942554538652E-3</v>
      </c>
      <c r="L17" s="61">
        <f>L116/L117</f>
        <v>4.7643874517460175E-3</v>
      </c>
      <c r="M17" s="61">
        <f t="shared" ref="M17:R17" si="6">M116/M117</f>
        <v>4.8029637760702527E-3</v>
      </c>
      <c r="N17" s="61">
        <f t="shared" si="6"/>
        <v>4.7407643172289659E-3</v>
      </c>
      <c r="O17" s="61">
        <f t="shared" si="6"/>
        <v>4.8621138725268498E-3</v>
      </c>
      <c r="P17" s="61">
        <f t="shared" si="6"/>
        <v>4.9415021301442439E-3</v>
      </c>
      <c r="Q17" s="61">
        <f t="shared" si="6"/>
        <v>5.308587531729983E-3</v>
      </c>
      <c r="R17" s="61">
        <f t="shared" si="6"/>
        <v>5.5470735224973453E-3</v>
      </c>
      <c r="S17" s="61">
        <f>S116/S117</f>
        <v>5.5185323465781521E-3</v>
      </c>
      <c r="T17" s="61">
        <f>T116/T117</f>
        <v>5.7328428263351515E-3</v>
      </c>
      <c r="U17" s="61"/>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row>
    <row r="18" spans="1:104" s="19" customFormat="1" x14ac:dyDescent="0.3">
      <c r="A18" s="10"/>
      <c r="B18" s="35" t="s">
        <v>193</v>
      </c>
      <c r="C18" s="45" t="s">
        <v>173</v>
      </c>
      <c r="K18" s="26">
        <f>K119/K120</f>
        <v>3.2178649659798013E-3</v>
      </c>
      <c r="L18" s="62">
        <f>L119/L120</f>
        <v>3.7105297801515811E-3</v>
      </c>
      <c r="M18" s="26">
        <f t="shared" ref="M18:R18" si="7">M119/M120</f>
        <v>3.3311383971801525E-3</v>
      </c>
      <c r="N18" s="62">
        <f t="shared" si="7"/>
        <v>3.308341326860208E-3</v>
      </c>
      <c r="O18" s="26">
        <f t="shared" si="7"/>
        <v>3.8626693211539212E-3</v>
      </c>
      <c r="P18" s="62">
        <f t="shared" si="7"/>
        <v>4.9327617593516943E-3</v>
      </c>
      <c r="Q18" s="26">
        <f t="shared" si="7"/>
        <v>4.0641480581096717E-3</v>
      </c>
      <c r="R18" s="26">
        <f t="shared" si="7"/>
        <v>4.5569522485469889E-3</v>
      </c>
      <c r="S18" s="26">
        <f>S119/S120</f>
        <v>5.772482556218538E-3</v>
      </c>
      <c r="T18" s="26">
        <f>T119/T120</f>
        <v>5.6957767055612158E-3</v>
      </c>
      <c r="U18" s="26"/>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row>
    <row r="19" spans="1:104" s="19" customFormat="1" x14ac:dyDescent="0.3">
      <c r="A19" s="10"/>
      <c r="B19" s="34" t="s">
        <v>193</v>
      </c>
      <c r="C19" s="45" t="s">
        <v>345</v>
      </c>
      <c r="K19" s="26"/>
      <c r="L19" s="62"/>
      <c r="M19" s="26"/>
      <c r="N19" s="62"/>
      <c r="O19" s="26"/>
      <c r="P19" s="62"/>
      <c r="Q19" s="26">
        <f>Q122/Q123</f>
        <v>5.8763270627677413E-3</v>
      </c>
      <c r="R19" s="26">
        <f>R122/R123</f>
        <v>6.7451538544841348E-3</v>
      </c>
      <c r="S19" s="26">
        <f>S122/S123</f>
        <v>7.1324689791750469E-3</v>
      </c>
      <c r="T19" s="26">
        <f>T122/T123</f>
        <v>8.2486468148102454E-3</v>
      </c>
      <c r="U19" s="26"/>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row>
    <row r="20" spans="1:104" s="19" customFormat="1" x14ac:dyDescent="0.3">
      <c r="A20" s="10"/>
      <c r="B20" s="34" t="s">
        <v>193</v>
      </c>
      <c r="C20" s="27" t="s">
        <v>174</v>
      </c>
      <c r="D20" s="10"/>
      <c r="E20" s="10"/>
      <c r="F20" s="10"/>
      <c r="G20" s="10"/>
      <c r="H20" s="10"/>
      <c r="I20" s="10"/>
      <c r="J20" s="10"/>
      <c r="K20" s="61">
        <f t="shared" ref="K20:P20" si="8">K125/K126</f>
        <v>3.6885949026859073E-3</v>
      </c>
      <c r="L20" s="61">
        <f t="shared" si="8"/>
        <v>4.0783186501418545E-3</v>
      </c>
      <c r="M20" s="61" t="e">
        <f t="shared" si="8"/>
        <v>#REF!</v>
      </c>
      <c r="N20" s="61">
        <f t="shared" si="8"/>
        <v>4.2510441569072492E-3</v>
      </c>
      <c r="O20" s="61">
        <f t="shared" si="8"/>
        <v>4.9933084129401449E-3</v>
      </c>
      <c r="P20" s="61">
        <f t="shared" si="8"/>
        <v>5.2801813507312081E-3</v>
      </c>
      <c r="Q20" s="61"/>
      <c r="R20" s="61"/>
      <c r="S20" s="61"/>
      <c r="T20" s="61"/>
      <c r="U20" s="61"/>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row>
    <row r="21" spans="1:104" x14ac:dyDescent="0.3">
      <c r="A21" s="10"/>
      <c r="B21" s="35" t="s">
        <v>193</v>
      </c>
      <c r="C21" s="45" t="s">
        <v>175</v>
      </c>
      <c r="D21" s="19"/>
      <c r="E21" s="19"/>
      <c r="F21" s="19"/>
      <c r="G21" s="19"/>
      <c r="H21" s="19"/>
      <c r="I21" s="19"/>
      <c r="J21" s="19"/>
      <c r="K21" s="26">
        <f>K128/K129</f>
        <v>4.7009728751351218E-3</v>
      </c>
      <c r="L21" s="62">
        <f>L128/L129</f>
        <v>6.0056573242585568E-3</v>
      </c>
      <c r="M21" s="26">
        <f t="shared" ref="M21:R21" si="9">M128/M129</f>
        <v>7.9348691412080806E-3</v>
      </c>
      <c r="N21" s="62">
        <f t="shared" si="9"/>
        <v>9.1449502361777429E-3</v>
      </c>
      <c r="O21" s="26">
        <f t="shared" si="9"/>
        <v>8.1561023501257896E-3</v>
      </c>
      <c r="P21" s="62">
        <f t="shared" si="9"/>
        <v>8.2630422237774254E-3</v>
      </c>
      <c r="Q21" s="26">
        <f t="shared" si="9"/>
        <v>9.3633279858925528E-3</v>
      </c>
      <c r="R21" s="26">
        <f t="shared" si="9"/>
        <v>9.3195966362080891E-3</v>
      </c>
      <c r="S21" s="26">
        <f>S128/S129</f>
        <v>1.0569292280188918E-2</v>
      </c>
      <c r="T21" s="26">
        <f>T128/T129</f>
        <v>1.0686314185730949E-2</v>
      </c>
      <c r="U21" s="2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row>
    <row r="22" spans="1:104" x14ac:dyDescent="0.3">
      <c r="A22" s="10"/>
      <c r="B22" s="34" t="s">
        <v>193</v>
      </c>
      <c r="C22" s="27" t="s">
        <v>176</v>
      </c>
      <c r="D22" s="10"/>
      <c r="E22" s="10"/>
      <c r="F22" s="10"/>
      <c r="G22" s="10"/>
      <c r="H22" s="10"/>
      <c r="I22" s="10"/>
      <c r="J22" s="10"/>
      <c r="K22" s="61">
        <f>K131/K132</f>
        <v>5.0148165033052196E-3</v>
      </c>
      <c r="L22" s="61">
        <f>L131/L132</f>
        <v>5.4613199040440992E-3</v>
      </c>
      <c r="M22" s="61">
        <f t="shared" ref="M22:R22" si="10">M131/M132</f>
        <v>7.146058119893826E-3</v>
      </c>
      <c r="N22" s="61">
        <f t="shared" si="10"/>
        <v>7.0518605942793671E-3</v>
      </c>
      <c r="O22" s="61">
        <f t="shared" si="10"/>
        <v>6.0958060992735664E-3</v>
      </c>
      <c r="P22" s="61">
        <f t="shared" si="10"/>
        <v>5.7633396216618497E-3</v>
      </c>
      <c r="Q22" s="61">
        <f t="shared" si="10"/>
        <v>6.0233857256861319E-3</v>
      </c>
      <c r="R22" s="61">
        <f t="shared" si="10"/>
        <v>7.0273342634216921E-3</v>
      </c>
      <c r="S22" s="61">
        <f>S131/S132</f>
        <v>6.8179452482564793E-3</v>
      </c>
      <c r="T22" s="61">
        <f>T131/T132</f>
        <v>6.7554274084124831E-3</v>
      </c>
      <c r="U22" s="61"/>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row>
    <row r="23" spans="1:104" x14ac:dyDescent="0.3">
      <c r="A23" s="10"/>
      <c r="B23" s="35" t="s">
        <v>193</v>
      </c>
      <c r="C23" s="45" t="s">
        <v>177</v>
      </c>
      <c r="D23" s="19"/>
      <c r="E23" s="19"/>
      <c r="F23" s="19"/>
      <c r="G23" s="19"/>
      <c r="H23" s="19"/>
      <c r="I23" s="19"/>
      <c r="J23" s="19"/>
      <c r="K23" s="26">
        <f>K134/K135</f>
        <v>2.3179610371822021E-3</v>
      </c>
      <c r="L23" s="62">
        <f>L134/L135</f>
        <v>2.9564396917754364E-3</v>
      </c>
      <c r="M23" s="26">
        <f t="shared" ref="M23:R23" si="11">M134/M135</f>
        <v>2.2120820287036343E-3</v>
      </c>
      <c r="N23" s="62">
        <f t="shared" si="11"/>
        <v>2.2837872449415178E-3</v>
      </c>
      <c r="O23" s="26">
        <f t="shared" si="11"/>
        <v>2.6840776678347376E-3</v>
      </c>
      <c r="P23" s="62">
        <f t="shared" si="11"/>
        <v>2.4499099924372345E-3</v>
      </c>
      <c r="Q23" s="26">
        <f t="shared" si="11"/>
        <v>2.9938530464047224E-3</v>
      </c>
      <c r="R23" s="26">
        <f t="shared" si="11"/>
        <v>2.8084788296225105E-3</v>
      </c>
      <c r="S23" s="26">
        <f>S134/S135</f>
        <v>3.7030139027356291E-3</v>
      </c>
      <c r="T23" s="26">
        <f>T134/T135</f>
        <v>4.1577297475664078E-3</v>
      </c>
      <c r="U23" s="2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row>
    <row r="24" spans="1:104" s="19" customFormat="1" x14ac:dyDescent="0.3">
      <c r="A24" s="10"/>
      <c r="B24" s="34" t="s">
        <v>193</v>
      </c>
      <c r="C24" s="27" t="s">
        <v>178</v>
      </c>
      <c r="D24" s="10"/>
      <c r="E24" s="10"/>
      <c r="F24" s="10"/>
      <c r="G24" s="10"/>
      <c r="H24" s="10"/>
      <c r="I24" s="10"/>
      <c r="J24" s="10"/>
      <c r="K24" s="61">
        <f>K137/K138</f>
        <v>3.7565158407738644E-3</v>
      </c>
      <c r="L24" s="61">
        <f>L137/L138</f>
        <v>4.1695171699841103E-3</v>
      </c>
      <c r="M24" s="61">
        <f t="shared" ref="M24:R24" si="12">M137/M138</f>
        <v>4.2631365759410404E-3</v>
      </c>
      <c r="N24" s="61">
        <f t="shared" si="12"/>
        <v>4.7441025568543196E-3</v>
      </c>
      <c r="O24" s="61">
        <f t="shared" si="12"/>
        <v>4.704742783677638E-3</v>
      </c>
      <c r="P24" s="61">
        <f t="shared" si="12"/>
        <v>5.1757253564894959E-3</v>
      </c>
      <c r="Q24" s="61">
        <f t="shared" si="12"/>
        <v>5.2303296396961465E-3</v>
      </c>
      <c r="R24" s="61">
        <f t="shared" si="12"/>
        <v>6.0654976756430948E-3</v>
      </c>
      <c r="S24" s="61">
        <f>S137/S138</f>
        <v>6.3964590066596045E-3</v>
      </c>
      <c r="T24" s="61">
        <f>T137/T138</f>
        <v>6.8384466767140934E-3</v>
      </c>
      <c r="U24" s="61"/>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row>
    <row r="25" spans="1:104" s="19" customFormat="1" x14ac:dyDescent="0.3">
      <c r="A25" s="10"/>
      <c r="B25" s="35" t="s">
        <v>193</v>
      </c>
      <c r="C25" s="45" t="s">
        <v>179</v>
      </c>
      <c r="K25" s="26">
        <f t="shared" ref="K25:R25" si="13">K146/K147</f>
        <v>3.7834455261440535E-3</v>
      </c>
      <c r="L25" s="62">
        <f t="shared" si="13"/>
        <v>4.4715012618547698E-3</v>
      </c>
      <c r="M25" s="26">
        <f t="shared" si="13"/>
        <v>4.7251474071832869E-3</v>
      </c>
      <c r="N25" s="62">
        <f t="shared" si="13"/>
        <v>4.9844228810333423E-3</v>
      </c>
      <c r="O25" s="26">
        <f t="shared" si="13"/>
        <v>5.1734970841162608E-3</v>
      </c>
      <c r="P25" s="62">
        <f t="shared" si="13"/>
        <v>5.2402489626556014E-3</v>
      </c>
      <c r="Q25" s="26">
        <f t="shared" si="13"/>
        <v>4.8554329723524562E-3</v>
      </c>
      <c r="R25" s="26">
        <f t="shared" si="13"/>
        <v>5.5065976913839772E-3</v>
      </c>
      <c r="S25" s="26">
        <f>S146/S147</f>
        <v>5.8145432399222072E-3</v>
      </c>
      <c r="T25" s="26">
        <f>T146/T147</f>
        <v>5.8892217406448484E-3</v>
      </c>
      <c r="U25" s="26"/>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row>
    <row r="26" spans="1:104" s="19" customFormat="1" x14ac:dyDescent="0.3">
      <c r="A26" s="10"/>
      <c r="B26" s="34" t="s">
        <v>193</v>
      </c>
      <c r="C26" s="27" t="s">
        <v>180</v>
      </c>
      <c r="D26" s="10"/>
      <c r="E26" s="10"/>
      <c r="F26" s="10"/>
      <c r="G26" s="10"/>
      <c r="H26" s="10"/>
      <c r="I26" s="10"/>
      <c r="J26" s="10"/>
      <c r="K26" s="61">
        <f t="shared" ref="K26:R26" si="14">K140/K141</f>
        <v>1.1743215031315239E-3</v>
      </c>
      <c r="L26" s="61">
        <f t="shared" si="14"/>
        <v>9.4675161843350993E-4</v>
      </c>
      <c r="M26" s="61">
        <f t="shared" si="14"/>
        <v>9.8721812324638878E-4</v>
      </c>
      <c r="N26" s="61">
        <f t="shared" si="14"/>
        <v>1.4395267882848692E-3</v>
      </c>
      <c r="O26" s="61">
        <f t="shared" si="14"/>
        <v>1.3135081174801661E-3</v>
      </c>
      <c r="P26" s="61">
        <f t="shared" si="14"/>
        <v>1.8481401462894032E-3</v>
      </c>
      <c r="Q26" s="61">
        <f t="shared" si="14"/>
        <v>2.4871403830744179E-2</v>
      </c>
      <c r="R26" s="61">
        <f t="shared" si="14"/>
        <v>2.5785697873318184E-3</v>
      </c>
      <c r="S26" s="61">
        <f>S140/S141</f>
        <v>3.6508635198467154E-3</v>
      </c>
      <c r="T26" s="61">
        <f>T140/T141</f>
        <v>3.253377446925834E-3</v>
      </c>
      <c r="U26" s="61"/>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row>
    <row r="27" spans="1:104" x14ac:dyDescent="0.3">
      <c r="A27" s="10"/>
      <c r="B27" s="35" t="s">
        <v>193</v>
      </c>
      <c r="C27" s="45" t="s">
        <v>181</v>
      </c>
      <c r="D27" s="19"/>
      <c r="E27" s="19"/>
      <c r="F27" s="19"/>
      <c r="G27" s="19"/>
      <c r="H27" s="19"/>
      <c r="I27" s="19"/>
      <c r="J27" s="19"/>
      <c r="K27" s="26">
        <f t="shared" ref="K27:R27" si="15">K143/K144</f>
        <v>4.7118417279938835E-3</v>
      </c>
      <c r="L27" s="62">
        <f t="shared" si="15"/>
        <v>5.25756771109931E-3</v>
      </c>
      <c r="M27" s="26">
        <f t="shared" si="15"/>
        <v>5.0561443350996722E-3</v>
      </c>
      <c r="N27" s="62">
        <f t="shared" si="15"/>
        <v>5.0134116745433645E-3</v>
      </c>
      <c r="O27" s="26">
        <f t="shared" si="15"/>
        <v>5.6613958214263042E-3</v>
      </c>
      <c r="P27" s="62">
        <f t="shared" si="15"/>
        <v>6.3451369972760772E-3</v>
      </c>
      <c r="Q27" s="26">
        <f t="shared" si="15"/>
        <v>5.7029741844714203E-3</v>
      </c>
      <c r="R27" s="26">
        <f t="shared" si="15"/>
        <v>7.0610749991751078E-3</v>
      </c>
      <c r="S27" s="26">
        <f>S143/S144</f>
        <v>7.5641418787692934E-3</v>
      </c>
      <c r="T27" s="26">
        <f>T143/T144</f>
        <v>9.1358684755730793E-3</v>
      </c>
      <c r="U27" s="2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row>
    <row r="28" spans="1:104" x14ac:dyDescent="0.3">
      <c r="A28" s="10"/>
      <c r="B28" s="34" t="s">
        <v>193</v>
      </c>
      <c r="C28" s="27" t="s">
        <v>182</v>
      </c>
      <c r="D28" s="10"/>
      <c r="E28" s="10"/>
      <c r="F28" s="10"/>
      <c r="G28" s="10"/>
      <c r="H28" s="10"/>
      <c r="I28" s="10"/>
      <c r="J28" s="10"/>
      <c r="K28" s="61">
        <f>K149/K150</f>
        <v>3.4413295282860502E-3</v>
      </c>
      <c r="L28" s="61">
        <f>L149/L150</f>
        <v>3.4298142881044004E-3</v>
      </c>
      <c r="M28" s="61">
        <f t="shared" ref="M28:R28" si="16">M149/M150</f>
        <v>5.408146019942538E-3</v>
      </c>
      <c r="N28" s="61">
        <f t="shared" si="16"/>
        <v>3.4251232364439911E-3</v>
      </c>
      <c r="O28" s="61">
        <f t="shared" si="16"/>
        <v>5.9747354045749405E-3</v>
      </c>
      <c r="P28" s="61">
        <f t="shared" si="16"/>
        <v>4.5689655172413794E-3</v>
      </c>
      <c r="Q28" s="61">
        <f t="shared" si="16"/>
        <v>5.7808455565142363E-3</v>
      </c>
      <c r="R28" s="61">
        <f t="shared" si="16"/>
        <v>5.9012409962683329E-3</v>
      </c>
      <c r="S28" s="61">
        <f>S149/S150</f>
        <v>9.3088609818213746E-3</v>
      </c>
      <c r="T28" s="61">
        <f>T149/T150</f>
        <v>1.1365472663614328E-2</v>
      </c>
      <c r="U28" s="61"/>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row>
    <row r="29" spans="1:104" x14ac:dyDescent="0.3">
      <c r="A29" s="10"/>
      <c r="B29" s="35" t="s">
        <v>193</v>
      </c>
      <c r="C29" s="45" t="s">
        <v>183</v>
      </c>
      <c r="D29" s="19"/>
      <c r="E29" s="19"/>
      <c r="F29" s="19"/>
      <c r="G29" s="19"/>
      <c r="H29" s="19"/>
      <c r="I29" s="19"/>
      <c r="J29" s="19"/>
      <c r="K29" s="26">
        <f>K152/K153</f>
        <v>7.0428543455761002E-3</v>
      </c>
      <c r="L29" s="62">
        <f>L152/L153</f>
        <v>7.9186947281826275E-3</v>
      </c>
      <c r="M29" s="26">
        <f t="shared" ref="M29:R29" si="17">M152/M153</f>
        <v>7.2635781873871905E-3</v>
      </c>
      <c r="N29" s="62">
        <f t="shared" si="17"/>
        <v>8.0532497829861119E-3</v>
      </c>
      <c r="O29" s="26">
        <f t="shared" si="17"/>
        <v>8.237547892720307E-3</v>
      </c>
      <c r="P29" s="62">
        <f t="shared" si="17"/>
        <v>8.1673027182013226E-3</v>
      </c>
      <c r="Q29" s="26">
        <f t="shared" si="17"/>
        <v>7.7311247563094316E-3</v>
      </c>
      <c r="R29" s="26">
        <f t="shared" si="17"/>
        <v>8.1236313090913854E-3</v>
      </c>
      <c r="S29" s="26">
        <f>S152/S153</f>
        <v>9.4454364309189253E-3</v>
      </c>
      <c r="T29" s="26">
        <f>T152/T153</f>
        <v>9.5774719382737197E-3</v>
      </c>
      <c r="U29" s="2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row>
    <row r="30" spans="1:104" s="19" customFormat="1" x14ac:dyDescent="0.3">
      <c r="A30" s="10"/>
      <c r="B30" s="34" t="s">
        <v>193</v>
      </c>
      <c r="C30" s="27" t="s">
        <v>184</v>
      </c>
      <c r="D30" s="10"/>
      <c r="E30" s="10"/>
      <c r="F30" s="10"/>
      <c r="G30" s="10"/>
      <c r="H30" s="10"/>
      <c r="I30" s="10"/>
      <c r="J30" s="10"/>
      <c r="K30" s="61">
        <f>K155/K156</f>
        <v>4.4688553239295966E-3</v>
      </c>
      <c r="L30" s="61">
        <f>L155/L156</f>
        <v>4.6084075934822201E-3</v>
      </c>
      <c r="M30" s="61">
        <f t="shared" ref="M30:R30" si="18">M155/M156</f>
        <v>4.8199197488210839E-3</v>
      </c>
      <c r="N30" s="61">
        <f t="shared" si="18"/>
        <v>4.9443863022367177E-3</v>
      </c>
      <c r="O30" s="61">
        <f t="shared" si="18"/>
        <v>5.2311538881673969E-3</v>
      </c>
      <c r="P30" s="61">
        <f t="shared" si="18"/>
        <v>5.0715736472763092E-3</v>
      </c>
      <c r="Q30" s="61">
        <f t="shared" si="18"/>
        <v>5.3760163840499324E-3</v>
      </c>
      <c r="R30" s="61">
        <f t="shared" si="18"/>
        <v>5.7741323701726204E-3</v>
      </c>
      <c r="S30" s="61">
        <f>S155/S156</f>
        <v>5.7219194438861767E-3</v>
      </c>
      <c r="T30" s="61">
        <f>T155/T156</f>
        <v>6.5262317411112674E-3</v>
      </c>
      <c r="U30" s="61"/>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row>
    <row r="31" spans="1:104" s="19" customFormat="1" x14ac:dyDescent="0.3">
      <c r="A31" s="10"/>
      <c r="B31" s="35" t="s">
        <v>193</v>
      </c>
      <c r="C31" s="45" t="s">
        <v>185</v>
      </c>
      <c r="K31" s="26">
        <f>K158/K159</f>
        <v>2.4489795918367346E-3</v>
      </c>
      <c r="L31" s="62">
        <f>L158/L159</f>
        <v>2.8048176868503546E-3</v>
      </c>
      <c r="M31" s="26">
        <f t="shared" ref="M31:R31" si="19">M158/M159</f>
        <v>0</v>
      </c>
      <c r="N31" s="62">
        <f t="shared" si="19"/>
        <v>2.0277120648867861E-3</v>
      </c>
      <c r="O31" s="26">
        <f t="shared" si="19"/>
        <v>2.8080607862570202E-3</v>
      </c>
      <c r="P31" s="62">
        <f t="shared" si="19"/>
        <v>5.2510666229077779E-3</v>
      </c>
      <c r="Q31" s="26">
        <f t="shared" si="19"/>
        <v>1.4868660168511482E-3</v>
      </c>
      <c r="R31" s="26">
        <f t="shared" si="19"/>
        <v>2.1551724137931034E-3</v>
      </c>
      <c r="S31" s="26">
        <f>S158/S159</f>
        <v>3.5252643948296123E-3</v>
      </c>
      <c r="T31" s="26">
        <f>T158/T159</f>
        <v>0</v>
      </c>
      <c r="U31" s="26"/>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row>
    <row r="32" spans="1:104" s="19" customFormat="1" x14ac:dyDescent="0.3">
      <c r="A32" s="10"/>
      <c r="B32" s="34" t="s">
        <v>193</v>
      </c>
      <c r="C32" s="27" t="s">
        <v>186</v>
      </c>
      <c r="D32" s="10"/>
      <c r="E32" s="10"/>
      <c r="F32" s="10"/>
      <c r="G32" s="10"/>
      <c r="H32" s="10"/>
      <c r="I32" s="10"/>
      <c r="J32" s="10"/>
      <c r="K32" s="61">
        <f>K161/K162</f>
        <v>5.4966675684316665E-3</v>
      </c>
      <c r="L32" s="61">
        <f>L161/L162</f>
        <v>5.696794490264433E-3</v>
      </c>
      <c r="M32" s="61">
        <f t="shared" ref="M32:R32" si="20">M161/M162</f>
        <v>5.6162587412587417E-3</v>
      </c>
      <c r="N32" s="61">
        <f t="shared" si="20"/>
        <v>5.6740027510316371E-3</v>
      </c>
      <c r="O32" s="61">
        <f t="shared" si="20"/>
        <v>5.2879138646970206E-3</v>
      </c>
      <c r="P32" s="61">
        <f t="shared" si="20"/>
        <v>5.561408236764093E-3</v>
      </c>
      <c r="Q32" s="61">
        <f t="shared" si="20"/>
        <v>5.9296135646687703E-3</v>
      </c>
      <c r="R32" s="61">
        <f t="shared" si="20"/>
        <v>5.9189650964120086E-3</v>
      </c>
      <c r="S32" s="61">
        <f>S161/S162</f>
        <v>6.2193765960826481E-3</v>
      </c>
      <c r="T32" s="61">
        <f>T161/T162</f>
        <v>7.2870928530674008E-3</v>
      </c>
      <c r="U32" s="61"/>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row>
    <row r="33" spans="1:104" x14ac:dyDescent="0.3">
      <c r="A33" s="10"/>
      <c r="B33" s="35" t="s">
        <v>193</v>
      </c>
      <c r="C33" s="45" t="s">
        <v>187</v>
      </c>
      <c r="D33" s="19"/>
      <c r="E33" s="19"/>
      <c r="F33" s="19"/>
      <c r="G33" s="19"/>
      <c r="H33" s="19"/>
      <c r="I33" s="19"/>
      <c r="J33" s="19"/>
      <c r="K33" s="26">
        <f>K164/K165</f>
        <v>2.540937323546019E-3</v>
      </c>
      <c r="L33" s="62">
        <f>L164/L165</f>
        <v>4.2300629590766E-3</v>
      </c>
      <c r="M33" s="26">
        <f t="shared" ref="M33:R33" si="21">M164/M165</f>
        <v>2.4412521796894461E-3</v>
      </c>
      <c r="N33" s="62">
        <f t="shared" si="21"/>
        <v>3.7126874907182812E-3</v>
      </c>
      <c r="O33" s="26">
        <f t="shared" si="21"/>
        <v>3.8531278331822303E-3</v>
      </c>
      <c r="P33" s="62">
        <f t="shared" si="21"/>
        <v>3.4713416180573169E-3</v>
      </c>
      <c r="Q33" s="26">
        <f t="shared" si="21"/>
        <v>4.2338709677419359E-3</v>
      </c>
      <c r="R33" s="26">
        <f t="shared" si="21"/>
        <v>3.8600141734895432E-3</v>
      </c>
      <c r="S33" s="26">
        <f>S164/S165</f>
        <v>4.849964016396007E-3</v>
      </c>
      <c r="T33" s="26">
        <f>T164/T165</f>
        <v>4.1817033561891018E-3</v>
      </c>
      <c r="U33" s="2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row>
    <row r="34" spans="1:104" x14ac:dyDescent="0.3">
      <c r="A34" s="10"/>
      <c r="B34" s="34" t="s">
        <v>193</v>
      </c>
      <c r="C34" s="27" t="s">
        <v>188</v>
      </c>
      <c r="D34" s="10"/>
      <c r="E34" s="10"/>
      <c r="F34" s="10"/>
      <c r="G34" s="10"/>
      <c r="H34" s="10"/>
      <c r="I34" s="10"/>
      <c r="J34" s="10"/>
      <c r="K34" s="61">
        <f>K167/K168</f>
        <v>3.688545298367945E-3</v>
      </c>
      <c r="L34" s="61">
        <f>L167/L168</f>
        <v>4.3445692883895132E-3</v>
      </c>
      <c r="M34" s="61">
        <f t="shared" ref="M34:R34" si="22">M167/M168</f>
        <v>3.9734433155618146E-3</v>
      </c>
      <c r="N34" s="61">
        <f t="shared" si="22"/>
        <v>4.2027317756541749E-3</v>
      </c>
      <c r="O34" s="61">
        <f t="shared" si="22"/>
        <v>4.5757485327762859E-3</v>
      </c>
      <c r="P34" s="61">
        <f t="shared" si="22"/>
        <v>3.8644918444165621E-3</v>
      </c>
      <c r="Q34" s="61">
        <f t="shared" si="22"/>
        <v>4.0180813661476649E-3</v>
      </c>
      <c r="R34" s="61">
        <f t="shared" si="22"/>
        <v>4.4174489232468254E-3</v>
      </c>
      <c r="S34" s="61">
        <f>S167/S168</f>
        <v>5.2939967105263162E-3</v>
      </c>
      <c r="T34" s="61">
        <f>T167/T168</f>
        <v>5.1456119637937814E-3</v>
      </c>
      <c r="U34" s="61"/>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row>
    <row r="35" spans="1:104" x14ac:dyDescent="0.3">
      <c r="A35" s="10"/>
      <c r="B35" s="35" t="s">
        <v>193</v>
      </c>
      <c r="C35" s="45" t="s">
        <v>189</v>
      </c>
      <c r="D35" s="19"/>
      <c r="E35" s="19"/>
      <c r="F35" s="19"/>
      <c r="G35" s="19"/>
      <c r="H35" s="19"/>
      <c r="I35" s="19"/>
      <c r="J35" s="19"/>
      <c r="K35" s="26">
        <f>K170/K171</f>
        <v>2.5816249050873196E-3</v>
      </c>
      <c r="L35" s="62">
        <f>L170/L171</f>
        <v>3.36374292849498E-3</v>
      </c>
      <c r="M35" s="26">
        <f t="shared" ref="M35:R35" si="23">M170/M171</f>
        <v>2.7648807971203506E-3</v>
      </c>
      <c r="N35" s="62">
        <f t="shared" si="23"/>
        <v>3.1388961548522104E-3</v>
      </c>
      <c r="O35" s="26">
        <f t="shared" si="23"/>
        <v>2.6130128037627383E-3</v>
      </c>
      <c r="P35" s="62">
        <f t="shared" si="23"/>
        <v>2.5407579928011857E-3</v>
      </c>
      <c r="Q35" s="26">
        <f t="shared" si="23"/>
        <v>3.290893396633578E-3</v>
      </c>
      <c r="R35" s="26">
        <f t="shared" si="23"/>
        <v>5.0096339113680152E-3</v>
      </c>
      <c r="S35" s="26">
        <f>S170/S171</f>
        <v>4.0495066446130153E-3</v>
      </c>
      <c r="T35" s="26">
        <f>T170/T171</f>
        <v>5.2907010178848699E-3</v>
      </c>
      <c r="U35" s="2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row>
    <row r="36" spans="1:104" s="19" customFormat="1" x14ac:dyDescent="0.3">
      <c r="A36" s="10"/>
      <c r="B36" s="34" t="s">
        <v>193</v>
      </c>
      <c r="C36" s="27" t="s">
        <v>190</v>
      </c>
      <c r="D36" s="10"/>
      <c r="E36" s="10"/>
      <c r="F36" s="10"/>
      <c r="G36" s="10"/>
      <c r="H36" s="10"/>
      <c r="I36" s="10"/>
      <c r="J36" s="10"/>
      <c r="K36" s="61">
        <f>K173/K174</f>
        <v>5.979959056136192E-3</v>
      </c>
      <c r="L36" s="61">
        <f>L173/L174</f>
        <v>7.8738076994213542E-3</v>
      </c>
      <c r="M36" s="61">
        <f t="shared" ref="M36:R36" si="24">M173/M174</f>
        <v>6.7789484747365928E-3</v>
      </c>
      <c r="N36" s="61">
        <f t="shared" si="24"/>
        <v>5.9038878003506235E-3</v>
      </c>
      <c r="O36" s="61">
        <f t="shared" si="24"/>
        <v>7.2887404145471112E-3</v>
      </c>
      <c r="P36" s="61">
        <f t="shared" si="24"/>
        <v>5.367078635087892E-3</v>
      </c>
      <c r="Q36" s="61">
        <f t="shared" si="24"/>
        <v>7.5121736364303715E-3</v>
      </c>
      <c r="R36" s="61">
        <f t="shared" si="24"/>
        <v>8.6273375747059951E-3</v>
      </c>
      <c r="S36" s="61">
        <f>S173/S174</f>
        <v>8.9652781217494683E-3</v>
      </c>
      <c r="T36" s="61">
        <f>T173/T174</f>
        <v>9.443548192916134E-3</v>
      </c>
      <c r="U36" s="61"/>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row>
    <row r="37" spans="1:104" s="19" customFormat="1" x14ac:dyDescent="0.3">
      <c r="A37" s="10"/>
      <c r="B37" s="34" t="s">
        <v>193</v>
      </c>
      <c r="C37" s="27" t="s">
        <v>346</v>
      </c>
      <c r="D37" s="10"/>
      <c r="E37" s="10"/>
      <c r="F37" s="10"/>
      <c r="G37" s="10"/>
      <c r="H37" s="10"/>
      <c r="I37" s="10"/>
      <c r="J37" s="10"/>
      <c r="K37" s="61"/>
      <c r="L37" s="61"/>
      <c r="M37" s="61"/>
      <c r="N37" s="61"/>
      <c r="O37" s="61"/>
      <c r="P37" s="61"/>
      <c r="Q37" s="61">
        <f>Q176/Q177</f>
        <v>5.0064416969916141E-3</v>
      </c>
      <c r="R37" s="61">
        <f>R176/R177</f>
        <v>5.3711916913682049E-3</v>
      </c>
      <c r="S37" s="61">
        <f>S176/S177</f>
        <v>7.5690899489526493E-3</v>
      </c>
      <c r="T37" s="61">
        <f>T176/T177</f>
        <v>7.8440714672441802E-3</v>
      </c>
      <c r="U37" s="61"/>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row>
    <row r="38" spans="1:104" s="19" customFormat="1" x14ac:dyDescent="0.3">
      <c r="A38" s="10"/>
      <c r="B38" s="35" t="s">
        <v>193</v>
      </c>
      <c r="C38" s="45" t="s">
        <v>191</v>
      </c>
      <c r="K38" s="26">
        <f>K179/K180</f>
        <v>1.1472542847149353E-2</v>
      </c>
      <c r="L38" s="62">
        <f>L179/L180</f>
        <v>1.2056033154091175E-2</v>
      </c>
      <c r="M38" s="26">
        <f t="shared" ref="M38:R38" si="25">M179/M180</f>
        <v>1.2328238923163209E-2</v>
      </c>
      <c r="N38" s="62">
        <f t="shared" si="25"/>
        <v>1.2343476740118924E-2</v>
      </c>
      <c r="O38" s="26">
        <f t="shared" si="25"/>
        <v>1.0678470156995643E-2</v>
      </c>
      <c r="P38" s="62">
        <f t="shared" si="25"/>
        <v>1.1676626141905351E-2</v>
      </c>
      <c r="Q38" s="26">
        <f t="shared" si="25"/>
        <v>1.2688157261667466E-2</v>
      </c>
      <c r="R38" s="26">
        <f t="shared" si="25"/>
        <v>1.2134937804218496E-2</v>
      </c>
      <c r="S38" s="26">
        <f>S179/S180</f>
        <v>1.3058230798231483E-2</v>
      </c>
      <c r="T38" s="26">
        <f>T179/T180</f>
        <v>1.7002359539034985E-2</v>
      </c>
      <c r="U38" s="26"/>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row>
    <row r="39" spans="1:104" s="19" customFormat="1" x14ac:dyDescent="0.3">
      <c r="A39" s="10"/>
      <c r="B39" s="34" t="s">
        <v>193</v>
      </c>
      <c r="C39" s="27" t="s">
        <v>192</v>
      </c>
      <c r="D39" s="10"/>
      <c r="E39" s="10"/>
      <c r="F39" s="10"/>
      <c r="G39" s="10"/>
      <c r="H39" s="10"/>
      <c r="I39" s="10"/>
      <c r="J39" s="10"/>
      <c r="K39" s="61">
        <f>K182/K183</f>
        <v>2.9764008324498371E-3</v>
      </c>
      <c r="L39" s="61">
        <f>L182/L183</f>
        <v>3.7327762331218605E-3</v>
      </c>
      <c r="M39" s="61">
        <f t="shared" ref="M39:R39" si="26">M182/M183</f>
        <v>3.7452324719298648E-3</v>
      </c>
      <c r="N39" s="61">
        <f t="shared" si="26"/>
        <v>3.7325289553063624E-3</v>
      </c>
      <c r="O39" s="61">
        <f t="shared" si="26"/>
        <v>3.9516326281032162E-3</v>
      </c>
      <c r="P39" s="61">
        <f t="shared" si="26"/>
        <v>4.1939771737635788E-3</v>
      </c>
      <c r="Q39" s="61">
        <f t="shared" si="26"/>
        <v>4.190389432930995E-3</v>
      </c>
      <c r="R39" s="61">
        <f t="shared" si="26"/>
        <v>9.5370300892924139E-3</v>
      </c>
      <c r="S39" s="61">
        <f>S182/S183</f>
        <v>4.8651935941617678E-3</v>
      </c>
      <c r="T39" s="61">
        <f>T182/T183</f>
        <v>5.169018463953093E-3</v>
      </c>
      <c r="U39" s="61"/>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row>
    <row r="40" spans="1:104" s="19" customFormat="1" x14ac:dyDescent="0.3">
      <c r="A40" s="10"/>
      <c r="B40" s="48" t="s">
        <v>193</v>
      </c>
      <c r="C40" s="63" t="s">
        <v>214</v>
      </c>
      <c r="D40" s="50"/>
      <c r="E40" s="50"/>
      <c r="F40" s="50"/>
      <c r="G40" s="50"/>
      <c r="H40" s="50"/>
      <c r="I40" s="50"/>
      <c r="J40" s="50"/>
      <c r="K40" s="64">
        <f>K185/K186</f>
        <v>4.2711917266530118E-3</v>
      </c>
      <c r="L40" s="64">
        <f>L185/L186</f>
        <v>4.879369594499805E-3</v>
      </c>
      <c r="M40" s="64">
        <f t="shared" ref="M40:S40" si="27">M185/M186</f>
        <v>4.9466582951254888E-3</v>
      </c>
      <c r="N40" s="64">
        <f t="shared" si="27"/>
        <v>5.2555529382049496E-3</v>
      </c>
      <c r="O40" s="64">
        <f t="shared" si="27"/>
        <v>5.3897868014302292E-3</v>
      </c>
      <c r="P40" s="64">
        <f t="shared" si="27"/>
        <v>5.3402217453442022E-3</v>
      </c>
      <c r="Q40" s="64">
        <f t="shared" si="27"/>
        <v>5.3958811816371627E-3</v>
      </c>
      <c r="R40" s="64">
        <f t="shared" si="27"/>
        <v>5.9035234584140705E-3</v>
      </c>
      <c r="S40" s="64">
        <f t="shared" si="27"/>
        <v>6.2148637347185813E-3</v>
      </c>
      <c r="T40" s="64"/>
      <c r="U40" s="64"/>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row>
    <row r="41" spans="1:104" x14ac:dyDescent="0.3">
      <c r="B41" s="693" t="s">
        <v>16</v>
      </c>
      <c r="C41" s="690"/>
      <c r="D41" s="7">
        <v>100</v>
      </c>
      <c r="E41" s="7">
        <v>104</v>
      </c>
      <c r="F41" s="6">
        <v>100</v>
      </c>
      <c r="G41">
        <v>100</v>
      </c>
      <c r="H41">
        <v>100</v>
      </c>
      <c r="I41">
        <v>104</v>
      </c>
      <c r="J41">
        <v>103</v>
      </c>
      <c r="K41">
        <v>104</v>
      </c>
      <c r="L41">
        <v>110</v>
      </c>
      <c r="M41" s="6">
        <v>113</v>
      </c>
      <c r="N41" s="6">
        <v>114</v>
      </c>
      <c r="O41" s="6">
        <v>172</v>
      </c>
      <c r="P41" s="6">
        <v>179</v>
      </c>
      <c r="Q41" s="6">
        <v>206</v>
      </c>
      <c r="R41" s="6">
        <v>212</v>
      </c>
      <c r="S41" s="6">
        <v>216</v>
      </c>
      <c r="T41" s="6">
        <v>219</v>
      </c>
      <c r="U41" s="6">
        <v>222</v>
      </c>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row>
    <row r="42" spans="1:104" x14ac:dyDescent="0.3">
      <c r="B42" s="693" t="s">
        <v>83</v>
      </c>
      <c r="C42" s="690"/>
      <c r="D42" s="7"/>
      <c r="E42" s="7">
        <f t="shared" ref="E42:L42" si="28">E41-E43</f>
        <v>69</v>
      </c>
      <c r="F42" s="7">
        <f t="shared" si="28"/>
        <v>65</v>
      </c>
      <c r="G42" s="7">
        <f t="shared" si="28"/>
        <v>60</v>
      </c>
      <c r="H42" s="7">
        <f t="shared" si="28"/>
        <v>60</v>
      </c>
      <c r="I42" s="7">
        <f t="shared" si="28"/>
        <v>62</v>
      </c>
      <c r="J42" s="7">
        <f t="shared" si="28"/>
        <v>60</v>
      </c>
      <c r="K42" s="7">
        <f t="shared" si="28"/>
        <v>59</v>
      </c>
      <c r="L42" s="7">
        <f t="shared" si="28"/>
        <v>61</v>
      </c>
      <c r="M42" s="7">
        <v>63</v>
      </c>
      <c r="N42" s="7">
        <v>64</v>
      </c>
      <c r="O42" s="7">
        <v>115</v>
      </c>
      <c r="P42" s="7">
        <v>112</v>
      </c>
      <c r="Q42" s="7">
        <v>124</v>
      </c>
      <c r="R42" s="7">
        <v>119</v>
      </c>
      <c r="S42" s="7">
        <v>115</v>
      </c>
      <c r="T42" s="6">
        <v>115</v>
      </c>
      <c r="U42" s="7">
        <v>113</v>
      </c>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row>
    <row r="43" spans="1:104" x14ac:dyDescent="0.3">
      <c r="B43" s="693" t="s">
        <v>82</v>
      </c>
      <c r="C43" s="690"/>
      <c r="D43" s="7"/>
      <c r="E43" s="7">
        <v>35</v>
      </c>
      <c r="F43" s="6">
        <v>35</v>
      </c>
      <c r="G43">
        <v>40</v>
      </c>
      <c r="H43">
        <v>40</v>
      </c>
      <c r="I43">
        <v>42</v>
      </c>
      <c r="J43">
        <v>43</v>
      </c>
      <c r="K43">
        <v>45</v>
      </c>
      <c r="L43">
        <v>49</v>
      </c>
      <c r="M43" s="6">
        <v>50</v>
      </c>
      <c r="N43" s="6">
        <v>50</v>
      </c>
      <c r="O43" s="6">
        <v>57</v>
      </c>
      <c r="P43" s="6">
        <v>67</v>
      </c>
      <c r="Q43" s="6">
        <v>82</v>
      </c>
      <c r="R43" s="6">
        <v>93</v>
      </c>
      <c r="S43" s="6">
        <v>101</v>
      </c>
      <c r="T43" s="6">
        <v>104</v>
      </c>
      <c r="U43" s="6">
        <v>109</v>
      </c>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row>
    <row r="44" spans="1:104" x14ac:dyDescent="0.3">
      <c r="B44" s="693" t="s">
        <v>84</v>
      </c>
      <c r="C44" s="690"/>
      <c r="D44" s="7"/>
      <c r="E44" s="7"/>
      <c r="F44" s="6"/>
      <c r="G44">
        <v>7</v>
      </c>
      <c r="H44">
        <v>7</v>
      </c>
      <c r="I44">
        <v>11</v>
      </c>
      <c r="J44">
        <v>14</v>
      </c>
      <c r="K44">
        <v>19</v>
      </c>
      <c r="L44">
        <v>15</v>
      </c>
      <c r="M44" s="6">
        <v>19</v>
      </c>
      <c r="N44" s="6">
        <v>16</v>
      </c>
      <c r="O44" s="6">
        <v>26</v>
      </c>
      <c r="P44" s="6">
        <v>22</v>
      </c>
      <c r="Q44" s="6">
        <v>24</v>
      </c>
      <c r="R44" s="6">
        <v>22</v>
      </c>
      <c r="T44" s="6">
        <v>18</v>
      </c>
      <c r="U44" s="6">
        <v>15</v>
      </c>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row>
    <row r="45" spans="1:104" x14ac:dyDescent="0.3">
      <c r="B45" s="694" t="s">
        <v>141</v>
      </c>
      <c r="C45" s="691"/>
      <c r="D45" s="28">
        <v>0</v>
      </c>
      <c r="E45" s="28">
        <v>0</v>
      </c>
      <c r="F45" s="28">
        <v>0</v>
      </c>
      <c r="G45" s="28">
        <v>0</v>
      </c>
      <c r="H45" s="28">
        <v>0</v>
      </c>
      <c r="I45" s="28">
        <v>0</v>
      </c>
      <c r="J45" s="28">
        <v>0</v>
      </c>
      <c r="K45" s="28">
        <v>0</v>
      </c>
      <c r="L45" s="28">
        <v>0</v>
      </c>
      <c r="M45" s="28">
        <v>0</v>
      </c>
      <c r="N45" s="28">
        <v>0</v>
      </c>
      <c r="O45" s="28">
        <v>0</v>
      </c>
      <c r="P45" s="28">
        <v>0</v>
      </c>
      <c r="Q45" s="28">
        <v>0</v>
      </c>
      <c r="R45" s="28">
        <v>0</v>
      </c>
      <c r="S45" s="28">
        <v>0</v>
      </c>
      <c r="T45" s="28">
        <v>0</v>
      </c>
      <c r="U45" s="28"/>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row>
    <row r="46" spans="1:104" x14ac:dyDescent="0.3">
      <c r="B46" s="694" t="s">
        <v>142</v>
      </c>
      <c r="C46" s="691"/>
      <c r="D46" s="28">
        <v>0.11</v>
      </c>
      <c r="E46" s="28">
        <v>0.09</v>
      </c>
      <c r="F46" s="28">
        <v>0.06</v>
      </c>
      <c r="G46" s="29">
        <v>4.5999999999999999E-2</v>
      </c>
      <c r="H46" s="29">
        <v>6.2E-2</v>
      </c>
      <c r="I46" s="29">
        <v>3.9E-2</v>
      </c>
      <c r="J46" s="29">
        <v>4.3999999999999997E-2</v>
      </c>
      <c r="K46" s="29">
        <v>1.4999999999999999E-2</v>
      </c>
      <c r="L46" s="29">
        <v>2.1000000000000001E-2</v>
      </c>
      <c r="M46" s="29">
        <v>2.0299999999999999E-2</v>
      </c>
      <c r="N46" s="29">
        <v>2.1000000000000001E-2</v>
      </c>
      <c r="O46" s="29">
        <v>2.1000000000000001E-2</v>
      </c>
      <c r="P46" s="29">
        <v>1.7999999999999999E-2</v>
      </c>
      <c r="Q46" s="29">
        <v>0.02</v>
      </c>
      <c r="R46" s="29">
        <v>2.5999999999999999E-2</v>
      </c>
      <c r="S46" s="29">
        <v>2.5000000000000001E-2</v>
      </c>
      <c r="T46" s="29">
        <v>2.8000000000000001E-2</v>
      </c>
      <c r="U46" s="29">
        <v>2.3E-2</v>
      </c>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row>
    <row r="47" spans="1:104" x14ac:dyDescent="0.3">
      <c r="B47" s="694" t="s">
        <v>143</v>
      </c>
      <c r="C47" s="691"/>
      <c r="D47" s="28">
        <v>0.78</v>
      </c>
      <c r="E47" s="28">
        <v>0.7</v>
      </c>
      <c r="F47" s="29">
        <v>0.77700000000000002</v>
      </c>
      <c r="G47" s="29">
        <v>0.66200000000000003</v>
      </c>
      <c r="H47" s="29">
        <v>0.56100000000000005</v>
      </c>
      <c r="I47" s="29">
        <v>0.61899999999999999</v>
      </c>
      <c r="J47" s="29">
        <v>0.70399999999999996</v>
      </c>
      <c r="K47" s="29">
        <v>0.73599999999999999</v>
      </c>
      <c r="L47" s="29">
        <v>0.70899999999999996</v>
      </c>
      <c r="M47" s="29">
        <v>0.67800000000000005</v>
      </c>
      <c r="N47" s="29">
        <v>1</v>
      </c>
      <c r="O47" s="29">
        <v>1</v>
      </c>
      <c r="P47" s="29">
        <v>1</v>
      </c>
      <c r="Q47" s="29">
        <v>1</v>
      </c>
      <c r="R47" s="29">
        <v>0.99299999999999999</v>
      </c>
      <c r="S47" s="29">
        <v>0.79</v>
      </c>
      <c r="T47" s="29">
        <v>0.81</v>
      </c>
      <c r="U47" s="29">
        <v>0.755</v>
      </c>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row>
    <row r="48" spans="1:104" x14ac:dyDescent="0.3">
      <c r="B48" s="694" t="s">
        <v>144</v>
      </c>
      <c r="C48" s="691"/>
      <c r="D48" s="28">
        <v>0</v>
      </c>
      <c r="E48" s="28">
        <v>0.21</v>
      </c>
      <c r="F48" s="29">
        <v>0.16300000000000001</v>
      </c>
      <c r="G48" s="28">
        <v>0.28999999999999998</v>
      </c>
      <c r="H48" s="29">
        <v>0.375</v>
      </c>
      <c r="I48" s="29">
        <v>0.34200000000000003</v>
      </c>
      <c r="J48" s="29">
        <v>0.252</v>
      </c>
      <c r="K48" s="29">
        <v>0.249</v>
      </c>
      <c r="L48" s="28">
        <f>100%-L47-L46</f>
        <v>0.27</v>
      </c>
      <c r="M48" s="28">
        <v>0.30099999999999999</v>
      </c>
      <c r="N48" s="28">
        <v>1</v>
      </c>
      <c r="O48" s="28">
        <v>1</v>
      </c>
      <c r="P48" s="28">
        <v>1</v>
      </c>
      <c r="Q48" s="28">
        <v>1</v>
      </c>
      <c r="R48" s="28"/>
      <c r="S48" s="28">
        <v>7.0000000000000007E-2</v>
      </c>
      <c r="T48" s="28">
        <v>0.02</v>
      </c>
      <c r="U48" s="213">
        <v>0.182</v>
      </c>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row>
    <row r="49" spans="2:104" x14ac:dyDescent="0.3">
      <c r="B49" s="694" t="s">
        <v>145</v>
      </c>
      <c r="C49" s="691"/>
      <c r="D49" s="28">
        <v>0.03</v>
      </c>
      <c r="E49" s="28">
        <v>0</v>
      </c>
      <c r="F49" s="28">
        <v>0</v>
      </c>
      <c r="G49" s="29">
        <v>2E-3</v>
      </c>
      <c r="H49" s="29">
        <v>2E-3</v>
      </c>
      <c r="I49" s="28">
        <v>0</v>
      </c>
      <c r="J49" s="28">
        <v>0</v>
      </c>
      <c r="K49" s="28">
        <v>0</v>
      </c>
      <c r="L49" s="28">
        <v>0</v>
      </c>
      <c r="M49" s="28">
        <v>0</v>
      </c>
      <c r="N49" s="28">
        <v>0</v>
      </c>
      <c r="O49" s="28">
        <v>0</v>
      </c>
      <c r="P49" s="28">
        <v>0</v>
      </c>
      <c r="Q49" s="28">
        <v>0</v>
      </c>
      <c r="R49" s="213">
        <v>7.0000000000000001E-3</v>
      </c>
      <c r="S49" s="213">
        <v>0.14000000000000001</v>
      </c>
      <c r="T49" s="213">
        <v>0.17</v>
      </c>
      <c r="U49" s="213">
        <v>6.3E-2</v>
      </c>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row>
    <row r="50" spans="2:104" x14ac:dyDescent="0.3">
      <c r="B50" s="693" t="s">
        <v>146</v>
      </c>
      <c r="C50" s="690"/>
      <c r="D50" s="15"/>
      <c r="E50" s="15">
        <v>0</v>
      </c>
      <c r="F50" s="15">
        <v>0</v>
      </c>
      <c r="G50" s="15">
        <v>0</v>
      </c>
      <c r="H50" s="15">
        <v>0</v>
      </c>
      <c r="I50" s="17">
        <v>0</v>
      </c>
      <c r="J50" s="17">
        <v>0</v>
      </c>
      <c r="K50" s="17">
        <v>0</v>
      </c>
      <c r="L50" s="17">
        <v>0</v>
      </c>
      <c r="M50" s="28">
        <v>0</v>
      </c>
      <c r="N50" s="28">
        <v>0</v>
      </c>
      <c r="O50" s="28">
        <v>0</v>
      </c>
      <c r="P50" s="28">
        <v>0</v>
      </c>
      <c r="Q50" s="28">
        <v>0</v>
      </c>
      <c r="R50" s="28">
        <v>0</v>
      </c>
      <c r="S50" s="28">
        <v>0</v>
      </c>
      <c r="T50" s="28">
        <v>0</v>
      </c>
      <c r="U50" s="28"/>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row>
    <row r="51" spans="2:104" x14ac:dyDescent="0.3">
      <c r="B51" s="693" t="s">
        <v>147</v>
      </c>
      <c r="C51" s="690"/>
      <c r="D51" s="15"/>
      <c r="E51" s="15">
        <v>0</v>
      </c>
      <c r="F51" s="15">
        <v>0</v>
      </c>
      <c r="G51" s="15">
        <v>0</v>
      </c>
      <c r="H51" s="15">
        <v>0</v>
      </c>
      <c r="I51" s="17">
        <v>0</v>
      </c>
      <c r="J51" s="17">
        <v>0</v>
      </c>
      <c r="K51" s="17">
        <v>0</v>
      </c>
      <c r="L51" s="17">
        <v>0</v>
      </c>
      <c r="M51" s="28">
        <v>0</v>
      </c>
      <c r="N51" s="28">
        <v>0</v>
      </c>
      <c r="O51" s="28">
        <v>0</v>
      </c>
      <c r="P51" s="28">
        <v>0</v>
      </c>
      <c r="Q51" s="28">
        <v>0</v>
      </c>
      <c r="R51" s="28">
        <v>0</v>
      </c>
      <c r="S51" s="28">
        <v>0</v>
      </c>
      <c r="T51" s="28">
        <v>0</v>
      </c>
      <c r="U51" s="28"/>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row>
    <row r="52" spans="2:104" x14ac:dyDescent="0.3">
      <c r="B52" s="693" t="s">
        <v>149</v>
      </c>
      <c r="C52" s="690"/>
      <c r="D52" s="15"/>
      <c r="E52" s="15">
        <v>0</v>
      </c>
      <c r="F52" s="15">
        <v>0</v>
      </c>
      <c r="G52" s="15">
        <v>0</v>
      </c>
      <c r="H52" s="15">
        <v>0</v>
      </c>
      <c r="I52" s="17">
        <v>0</v>
      </c>
      <c r="J52" s="17">
        <v>0</v>
      </c>
      <c r="K52" s="17">
        <v>0</v>
      </c>
      <c r="L52" s="17">
        <v>0</v>
      </c>
      <c r="N52" s="15">
        <v>1</v>
      </c>
      <c r="O52" s="15">
        <v>1</v>
      </c>
      <c r="P52" s="15">
        <v>1</v>
      </c>
      <c r="Q52" s="15">
        <v>1</v>
      </c>
      <c r="R52" s="15">
        <v>1</v>
      </c>
      <c r="S52" s="15">
        <v>1</v>
      </c>
      <c r="T52" s="15">
        <v>1</v>
      </c>
      <c r="U52" s="15">
        <v>1</v>
      </c>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row>
    <row r="53" spans="2:104" x14ac:dyDescent="0.3">
      <c r="B53" s="693" t="s">
        <v>148</v>
      </c>
      <c r="C53" s="690"/>
      <c r="D53" s="15"/>
      <c r="E53" s="15">
        <v>0.92</v>
      </c>
      <c r="F53" s="15">
        <v>1</v>
      </c>
      <c r="G53" s="15">
        <v>1</v>
      </c>
      <c r="H53" s="15">
        <v>1</v>
      </c>
      <c r="I53" s="15">
        <v>1</v>
      </c>
      <c r="J53" s="15">
        <v>1</v>
      </c>
      <c r="K53" s="15">
        <v>1</v>
      </c>
      <c r="L53" s="15">
        <v>1</v>
      </c>
      <c r="M53" s="15">
        <v>1</v>
      </c>
      <c r="N53" s="15">
        <v>0.95</v>
      </c>
      <c r="O53" s="15">
        <v>1</v>
      </c>
      <c r="P53" s="15">
        <v>1</v>
      </c>
      <c r="Q53" s="15">
        <v>1</v>
      </c>
      <c r="R53" s="15">
        <v>1</v>
      </c>
      <c r="S53" s="15">
        <v>1</v>
      </c>
      <c r="T53" s="15">
        <v>1</v>
      </c>
      <c r="U53" s="15">
        <v>1</v>
      </c>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row>
    <row r="54" spans="2:104" x14ac:dyDescent="0.3">
      <c r="B54" s="693" t="s">
        <v>150</v>
      </c>
      <c r="C54" s="690"/>
      <c r="D54" s="15"/>
      <c r="E54" s="15">
        <v>0.08</v>
      </c>
      <c r="F54" s="15">
        <v>0</v>
      </c>
      <c r="G54" s="17">
        <v>0</v>
      </c>
      <c r="H54" s="17">
        <v>0</v>
      </c>
      <c r="I54" s="17">
        <v>0</v>
      </c>
      <c r="J54" s="17">
        <v>0</v>
      </c>
      <c r="K54" s="17">
        <v>0</v>
      </c>
      <c r="L54" s="17">
        <v>0</v>
      </c>
      <c r="M54" s="17">
        <v>0</v>
      </c>
      <c r="N54" s="17">
        <v>0</v>
      </c>
      <c r="O54" s="17">
        <v>0</v>
      </c>
      <c r="P54" s="17">
        <v>0</v>
      </c>
      <c r="Q54" s="17">
        <v>0</v>
      </c>
      <c r="R54" s="17">
        <v>0</v>
      </c>
      <c r="S54" s="17">
        <v>0</v>
      </c>
      <c r="T54" s="17">
        <v>0</v>
      </c>
      <c r="U54" s="17"/>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row>
    <row r="55" spans="2:104" x14ac:dyDescent="0.3">
      <c r="B55" s="694" t="s">
        <v>151</v>
      </c>
      <c r="C55" s="691"/>
      <c r="D55" s="28"/>
      <c r="E55" s="28">
        <v>0</v>
      </c>
      <c r="F55" s="28">
        <v>0</v>
      </c>
      <c r="G55" s="28">
        <v>0</v>
      </c>
      <c r="H55" s="28">
        <v>0</v>
      </c>
      <c r="I55" s="28">
        <v>0</v>
      </c>
      <c r="J55" s="28">
        <v>0</v>
      </c>
      <c r="K55" s="28">
        <v>0</v>
      </c>
      <c r="L55" s="28">
        <v>0</v>
      </c>
      <c r="M55" s="28">
        <v>0</v>
      </c>
      <c r="N55" s="28">
        <v>0</v>
      </c>
      <c r="O55" s="28">
        <v>0</v>
      </c>
      <c r="P55" s="28">
        <v>0</v>
      </c>
      <c r="Q55" s="28">
        <v>0</v>
      </c>
      <c r="R55" s="28">
        <v>0</v>
      </c>
      <c r="S55" s="28">
        <v>0</v>
      </c>
      <c r="T55" s="28">
        <v>0</v>
      </c>
      <c r="U55" s="28"/>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row>
    <row r="56" spans="2:104" x14ac:dyDescent="0.3">
      <c r="B56" s="694" t="s">
        <v>152</v>
      </c>
      <c r="C56" s="691"/>
      <c r="D56" s="28"/>
      <c r="E56" s="28">
        <v>0</v>
      </c>
      <c r="F56" s="28">
        <v>0</v>
      </c>
      <c r="G56" s="28">
        <v>0</v>
      </c>
      <c r="H56" s="28">
        <v>0</v>
      </c>
      <c r="I56" s="28">
        <v>0</v>
      </c>
      <c r="J56" s="28">
        <v>0</v>
      </c>
      <c r="K56" s="28">
        <v>0</v>
      </c>
      <c r="L56" s="28">
        <v>0</v>
      </c>
      <c r="M56" s="28">
        <v>0</v>
      </c>
      <c r="N56" s="28">
        <v>0</v>
      </c>
      <c r="O56" s="28">
        <v>0</v>
      </c>
      <c r="P56" s="28">
        <v>0</v>
      </c>
      <c r="Q56" s="28">
        <v>0</v>
      </c>
      <c r="R56" s="28">
        <v>0</v>
      </c>
      <c r="S56" s="28">
        <v>0</v>
      </c>
      <c r="T56" s="28">
        <v>0</v>
      </c>
      <c r="U56" s="28"/>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row>
    <row r="57" spans="2:104" x14ac:dyDescent="0.3">
      <c r="B57" s="694" t="s">
        <v>153</v>
      </c>
      <c r="C57" s="691"/>
      <c r="D57" s="28"/>
      <c r="E57" s="28">
        <v>0</v>
      </c>
      <c r="F57" s="28">
        <v>0</v>
      </c>
      <c r="G57" s="28">
        <v>0</v>
      </c>
      <c r="H57" s="28">
        <v>0</v>
      </c>
      <c r="I57" s="28">
        <v>0</v>
      </c>
      <c r="J57" s="28">
        <v>0</v>
      </c>
      <c r="K57" s="28">
        <v>0</v>
      </c>
      <c r="L57" s="28">
        <v>0</v>
      </c>
      <c r="M57" s="28">
        <v>0</v>
      </c>
      <c r="N57" s="28">
        <v>0</v>
      </c>
      <c r="O57" s="28">
        <v>0</v>
      </c>
      <c r="P57" s="28">
        <v>0</v>
      </c>
      <c r="Q57" s="28">
        <v>0</v>
      </c>
      <c r="R57" s="28">
        <v>0</v>
      </c>
      <c r="S57" s="28">
        <v>0</v>
      </c>
      <c r="T57" s="28">
        <v>0</v>
      </c>
      <c r="U57" s="28"/>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row>
    <row r="58" spans="2:104" x14ac:dyDescent="0.3">
      <c r="B58" s="694" t="s">
        <v>154</v>
      </c>
      <c r="C58" s="691"/>
      <c r="D58" s="28"/>
      <c r="E58" s="28">
        <v>0</v>
      </c>
      <c r="F58" s="28">
        <v>0</v>
      </c>
      <c r="G58" s="28">
        <v>0</v>
      </c>
      <c r="H58" s="28">
        <v>0</v>
      </c>
      <c r="I58" s="28">
        <v>0</v>
      </c>
      <c r="J58" s="28">
        <v>0</v>
      </c>
      <c r="K58" s="28">
        <v>0</v>
      </c>
      <c r="L58" s="28">
        <v>0</v>
      </c>
      <c r="M58" s="28">
        <v>0</v>
      </c>
      <c r="N58" s="28">
        <v>0</v>
      </c>
      <c r="O58" s="28">
        <v>0</v>
      </c>
      <c r="P58" s="28">
        <v>0</v>
      </c>
      <c r="Q58" s="28">
        <v>0</v>
      </c>
      <c r="R58" s="28">
        <v>0</v>
      </c>
      <c r="S58" s="28">
        <v>0</v>
      </c>
      <c r="T58" s="28">
        <v>0</v>
      </c>
      <c r="U58" s="28"/>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row>
    <row r="59" spans="2:104" x14ac:dyDescent="0.3">
      <c r="B59" s="694" t="s">
        <v>155</v>
      </c>
      <c r="C59" s="691"/>
      <c r="D59" s="28"/>
      <c r="E59" s="28">
        <v>1</v>
      </c>
      <c r="F59" s="28">
        <v>1</v>
      </c>
      <c r="G59" s="28">
        <v>1</v>
      </c>
      <c r="H59" s="28">
        <v>1</v>
      </c>
      <c r="I59" s="28">
        <v>1</v>
      </c>
      <c r="J59" s="28">
        <v>1</v>
      </c>
      <c r="K59" s="28">
        <v>1</v>
      </c>
      <c r="L59" s="28">
        <v>1</v>
      </c>
      <c r="M59" s="28">
        <v>1</v>
      </c>
      <c r="N59" s="28">
        <v>1</v>
      </c>
      <c r="O59" s="28">
        <v>1</v>
      </c>
      <c r="P59" s="28">
        <v>1</v>
      </c>
      <c r="Q59" s="28">
        <v>1</v>
      </c>
      <c r="R59" s="28">
        <v>1</v>
      </c>
      <c r="S59" s="28">
        <v>1</v>
      </c>
      <c r="T59" s="28">
        <v>1</v>
      </c>
      <c r="U59" s="28">
        <v>1</v>
      </c>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row>
    <row r="60" spans="2:104" x14ac:dyDescent="0.3">
      <c r="B60" s="693" t="s">
        <v>156</v>
      </c>
      <c r="C60" s="690"/>
      <c r="D60" s="15"/>
      <c r="E60" s="15"/>
      <c r="F60" s="15"/>
      <c r="G60" s="17">
        <v>0</v>
      </c>
      <c r="H60" s="15">
        <v>0</v>
      </c>
      <c r="I60" s="15">
        <v>0</v>
      </c>
      <c r="J60" s="15">
        <v>0</v>
      </c>
      <c r="K60" s="15">
        <v>0</v>
      </c>
      <c r="L60" s="15">
        <v>0</v>
      </c>
      <c r="M60" s="15">
        <v>0</v>
      </c>
      <c r="N60" s="15">
        <v>0</v>
      </c>
      <c r="O60" s="15">
        <v>0</v>
      </c>
      <c r="P60" s="15">
        <v>0</v>
      </c>
      <c r="Q60" s="15">
        <v>0</v>
      </c>
      <c r="R60" s="15">
        <v>0</v>
      </c>
      <c r="S60" s="28">
        <v>0</v>
      </c>
      <c r="T60" s="28">
        <v>0</v>
      </c>
      <c r="U60" s="28"/>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row>
    <row r="61" spans="2:104" x14ac:dyDescent="0.3">
      <c r="B61" s="693" t="s">
        <v>157</v>
      </c>
      <c r="C61" s="690"/>
      <c r="D61" s="15"/>
      <c r="E61" s="15"/>
      <c r="F61" s="15"/>
      <c r="G61" s="17">
        <v>0</v>
      </c>
      <c r="H61" s="15">
        <v>0</v>
      </c>
      <c r="I61" s="15">
        <v>0</v>
      </c>
      <c r="J61" s="15">
        <v>0</v>
      </c>
      <c r="K61" s="15">
        <v>0</v>
      </c>
      <c r="L61" s="15">
        <v>0</v>
      </c>
      <c r="M61" s="15">
        <v>0</v>
      </c>
      <c r="N61" s="15">
        <v>0</v>
      </c>
      <c r="O61" s="15">
        <v>0</v>
      </c>
      <c r="P61" s="15">
        <v>0</v>
      </c>
      <c r="Q61" s="15">
        <v>0</v>
      </c>
      <c r="R61" s="15">
        <v>0</v>
      </c>
      <c r="S61" s="28">
        <v>0</v>
      </c>
      <c r="T61" s="28">
        <v>0</v>
      </c>
      <c r="U61" s="28"/>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row>
    <row r="62" spans="2:104" x14ac:dyDescent="0.3">
      <c r="B62" s="693" t="s">
        <v>158</v>
      </c>
      <c r="C62" s="690"/>
      <c r="D62" s="15"/>
      <c r="E62" s="15"/>
      <c r="F62" s="15"/>
      <c r="G62" s="17">
        <v>0</v>
      </c>
      <c r="H62" s="15">
        <v>0</v>
      </c>
      <c r="I62" s="15">
        <v>0</v>
      </c>
      <c r="J62" s="15">
        <v>0</v>
      </c>
      <c r="K62" s="15">
        <v>0</v>
      </c>
      <c r="L62" s="15">
        <v>0</v>
      </c>
      <c r="M62" s="15">
        <v>0</v>
      </c>
      <c r="N62" s="15">
        <v>1</v>
      </c>
      <c r="O62" s="15">
        <v>1</v>
      </c>
      <c r="P62" s="15">
        <v>1</v>
      </c>
      <c r="Q62" s="15">
        <v>1</v>
      </c>
      <c r="R62" s="15">
        <v>1</v>
      </c>
      <c r="S62" s="15">
        <v>0</v>
      </c>
      <c r="T62" s="15">
        <v>0</v>
      </c>
      <c r="U62" s="15"/>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row>
    <row r="63" spans="2:104" x14ac:dyDescent="0.3">
      <c r="B63" s="693" t="s">
        <v>160</v>
      </c>
      <c r="C63" s="690"/>
      <c r="D63" s="15"/>
      <c r="E63" s="15"/>
      <c r="F63" s="15"/>
      <c r="G63" s="17">
        <v>1</v>
      </c>
      <c r="H63" s="15">
        <v>1</v>
      </c>
      <c r="I63" s="15">
        <v>1</v>
      </c>
      <c r="J63" s="15">
        <v>1</v>
      </c>
      <c r="K63" s="15">
        <v>1</v>
      </c>
      <c r="L63" s="15">
        <v>1</v>
      </c>
      <c r="M63" s="15">
        <v>1</v>
      </c>
      <c r="N63" s="15">
        <v>1</v>
      </c>
      <c r="O63" s="15">
        <v>1</v>
      </c>
      <c r="P63" s="15">
        <v>1</v>
      </c>
      <c r="Q63" s="15">
        <v>1</v>
      </c>
      <c r="R63" s="15">
        <v>1</v>
      </c>
      <c r="S63" s="15">
        <v>1</v>
      </c>
      <c r="T63" s="15">
        <v>1</v>
      </c>
      <c r="U63" s="15">
        <v>1</v>
      </c>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row>
    <row r="64" spans="2:104" x14ac:dyDescent="0.3">
      <c r="B64" s="693" t="s">
        <v>159</v>
      </c>
      <c r="C64" s="690"/>
      <c r="D64" s="15"/>
      <c r="E64" s="15"/>
      <c r="F64" s="15"/>
      <c r="G64" s="17">
        <v>0</v>
      </c>
      <c r="H64" s="17">
        <v>0</v>
      </c>
      <c r="I64" s="17">
        <v>0</v>
      </c>
      <c r="J64" s="17">
        <v>0</v>
      </c>
      <c r="K64" s="17">
        <v>0</v>
      </c>
      <c r="L64" s="17">
        <v>0</v>
      </c>
      <c r="M64" s="17">
        <v>0</v>
      </c>
      <c r="N64" s="17">
        <v>0</v>
      </c>
      <c r="O64" s="17">
        <v>0</v>
      </c>
      <c r="P64" s="17">
        <v>0</v>
      </c>
      <c r="Q64" s="17">
        <v>0</v>
      </c>
      <c r="R64" s="17">
        <v>0</v>
      </c>
      <c r="S64" s="28">
        <v>0</v>
      </c>
      <c r="T64" s="28">
        <v>0</v>
      </c>
      <c r="U64" s="28"/>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row>
    <row r="65" spans="1:104" s="12" customFormat="1" x14ac:dyDescent="0.3">
      <c r="A65" s="6"/>
      <c r="B65" s="11" t="s">
        <v>9</v>
      </c>
      <c r="C65" s="11"/>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row>
    <row r="66" spans="1:104" x14ac:dyDescent="0.3">
      <c r="B66" s="693" t="s">
        <v>29</v>
      </c>
      <c r="C66" s="690"/>
      <c r="D66" s="8">
        <v>3138000</v>
      </c>
      <c r="E66" s="8"/>
      <c r="F66" s="6"/>
      <c r="G66" s="4">
        <v>5703065</v>
      </c>
      <c r="H66" s="4">
        <v>5908033</v>
      </c>
      <c r="I66" s="4">
        <v>5527738</v>
      </c>
      <c r="J66" s="4">
        <f>359278+5822583</f>
        <v>6181861</v>
      </c>
      <c r="K66" s="4">
        <f>68109+K72</f>
        <v>6076669</v>
      </c>
      <c r="L66" s="4">
        <f>L72-1287308</f>
        <v>4098361</v>
      </c>
      <c r="M66" s="4">
        <f>M72+1070089</f>
        <v>7408296</v>
      </c>
      <c r="N66" s="4">
        <f>7875857+827924</f>
        <v>8703781</v>
      </c>
      <c r="O66" s="4">
        <v>9251748</v>
      </c>
      <c r="P66" s="4">
        <v>5259833</v>
      </c>
      <c r="Q66" s="4">
        <v>5613039</v>
      </c>
      <c r="R66" s="4">
        <v>5111571</v>
      </c>
      <c r="S66" s="4">
        <v>5562763</v>
      </c>
      <c r="T66" s="4">
        <v>7126841</v>
      </c>
      <c r="U66" s="4">
        <v>7582861</v>
      </c>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row>
    <row r="67" spans="1:104" x14ac:dyDescent="0.3">
      <c r="B67" s="693" t="s">
        <v>30</v>
      </c>
      <c r="C67" s="690"/>
      <c r="D67" s="8">
        <v>2836000</v>
      </c>
      <c r="E67" s="8"/>
      <c r="F67" s="6"/>
      <c r="G67" s="2">
        <v>4594752</v>
      </c>
      <c r="H67" s="2">
        <v>4563357</v>
      </c>
      <c r="I67" s="2">
        <v>4527517</v>
      </c>
      <c r="J67" s="4">
        <f>4695039+448648</f>
        <v>5143687</v>
      </c>
      <c r="K67" s="4">
        <f>K68+481668</f>
        <v>5723284</v>
      </c>
      <c r="L67" s="4">
        <f>508010+L68</f>
        <v>6025122</v>
      </c>
      <c r="M67" s="4">
        <f>M68+671371</f>
        <v>6961326</v>
      </c>
      <c r="N67" s="4">
        <f>6200620+1128696</f>
        <v>7329316</v>
      </c>
      <c r="O67" s="4"/>
      <c r="P67" s="4">
        <f>5182617+316516</f>
        <v>5499133</v>
      </c>
      <c r="Q67" s="4">
        <f>5359860+434527</f>
        <v>5794387</v>
      </c>
      <c r="R67" s="4">
        <v>6757215</v>
      </c>
      <c r="S67" s="4">
        <v>7167328</v>
      </c>
      <c r="T67" s="4">
        <v>7759980</v>
      </c>
      <c r="U67" s="4">
        <v>8168560</v>
      </c>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row>
    <row r="68" spans="1:104" x14ac:dyDescent="0.3">
      <c r="B68" s="693" t="s">
        <v>69</v>
      </c>
      <c r="C68" s="690"/>
      <c r="D68" s="8"/>
      <c r="E68" s="8"/>
      <c r="F68" s="6"/>
      <c r="G68" s="2">
        <v>4100227</v>
      </c>
      <c r="H68" s="2">
        <v>4115056</v>
      </c>
      <c r="I68" s="2">
        <v>4132163</v>
      </c>
      <c r="J68" s="4">
        <v>4695039</v>
      </c>
      <c r="K68" s="4">
        <v>5241616</v>
      </c>
      <c r="L68" s="4">
        <v>5517112</v>
      </c>
      <c r="M68" s="4">
        <v>6289955</v>
      </c>
      <c r="N68" s="4">
        <v>6200620</v>
      </c>
      <c r="O68" s="4">
        <v>6200620</v>
      </c>
      <c r="P68" s="4"/>
      <c r="Q68" s="4"/>
      <c r="R68" s="4"/>
      <c r="S68" s="4"/>
      <c r="T68" s="4"/>
      <c r="U68" s="4"/>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row>
    <row r="69" spans="1:104" x14ac:dyDescent="0.3">
      <c r="B69" s="693" t="s">
        <v>67</v>
      </c>
      <c r="C69" s="690"/>
      <c r="D69" s="8"/>
      <c r="E69" s="8"/>
      <c r="F69" s="6"/>
      <c r="G69" s="2">
        <v>18569</v>
      </c>
      <c r="M69" s="4"/>
      <c r="N69" s="4"/>
      <c r="O69" s="4"/>
      <c r="P69" s="4"/>
      <c r="Q69" s="4"/>
      <c r="R69" s="4"/>
      <c r="S69" s="4"/>
      <c r="T69" s="4"/>
      <c r="U69" s="4"/>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row>
    <row r="70" spans="1:104" x14ac:dyDescent="0.3">
      <c r="B70" s="693" t="s">
        <v>68</v>
      </c>
      <c r="C70" s="690"/>
      <c r="D70" s="8"/>
      <c r="E70" s="8"/>
      <c r="F70" s="6"/>
      <c r="G70" s="2">
        <v>313158</v>
      </c>
      <c r="H70" s="2">
        <v>266091</v>
      </c>
      <c r="I70" s="2">
        <v>271982</v>
      </c>
      <c r="J70" s="4">
        <v>282933</v>
      </c>
      <c r="K70" s="4">
        <v>402804</v>
      </c>
      <c r="L70" s="4">
        <v>625431</v>
      </c>
      <c r="M70" s="4">
        <v>617735</v>
      </c>
      <c r="N70" s="4">
        <v>669505</v>
      </c>
      <c r="O70" s="4">
        <v>669505</v>
      </c>
      <c r="P70" s="4"/>
      <c r="Q70" s="4">
        <v>30373</v>
      </c>
      <c r="R70" s="4">
        <v>93257</v>
      </c>
      <c r="S70" s="4">
        <v>263269</v>
      </c>
      <c r="T70" s="4">
        <v>262714</v>
      </c>
      <c r="U70" s="4">
        <v>1248467</v>
      </c>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row>
    <row r="71" spans="1:104" x14ac:dyDescent="0.3">
      <c r="B71" s="693" t="s">
        <v>7</v>
      </c>
      <c r="C71" s="690"/>
      <c r="D71" s="8">
        <f>D66-D67</f>
        <v>302000</v>
      </c>
      <c r="E71" s="8"/>
      <c r="F71" s="6"/>
      <c r="G71" s="2">
        <v>1108313</v>
      </c>
      <c r="H71" s="2">
        <v>1344676</v>
      </c>
      <c r="I71" s="2">
        <v>1000221</v>
      </c>
      <c r="J71" s="4">
        <f>J66-J67</f>
        <v>1038174</v>
      </c>
      <c r="K71" s="4">
        <f>K66-K67</f>
        <v>353385</v>
      </c>
      <c r="L71" s="4">
        <f>L66-L67</f>
        <v>-1926761</v>
      </c>
      <c r="M71" s="4">
        <v>446970</v>
      </c>
      <c r="N71" s="4">
        <f>N66-N67</f>
        <v>1374465</v>
      </c>
      <c r="O71" s="4"/>
      <c r="P71" s="4">
        <f>P66-P67</f>
        <v>-239300</v>
      </c>
      <c r="Q71" s="4">
        <f>Q66-Q67</f>
        <v>-181348</v>
      </c>
      <c r="R71" s="4">
        <f>R66-R67</f>
        <v>-1645644</v>
      </c>
      <c r="S71" s="4">
        <v>1604565</v>
      </c>
      <c r="T71" s="500">
        <v>-633139</v>
      </c>
      <c r="U71" s="500">
        <f>U66-U67</f>
        <v>-585699</v>
      </c>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row>
    <row r="72" spans="1:104" x14ac:dyDescent="0.3">
      <c r="B72" s="693" t="s">
        <v>66</v>
      </c>
      <c r="C72" s="690"/>
      <c r="D72" s="4"/>
      <c r="E72" s="4"/>
      <c r="F72" s="4"/>
      <c r="G72" s="4">
        <v>5649592</v>
      </c>
      <c r="H72" s="4">
        <v>5850152</v>
      </c>
      <c r="I72" s="4">
        <v>5479058</v>
      </c>
      <c r="J72" s="4">
        <v>5822583</v>
      </c>
      <c r="K72" s="4">
        <v>6008560</v>
      </c>
      <c r="L72" s="4">
        <v>5385669</v>
      </c>
      <c r="M72" s="4">
        <v>6338207</v>
      </c>
      <c r="N72" s="4">
        <v>7875857</v>
      </c>
      <c r="O72" s="4"/>
      <c r="P72" s="4"/>
      <c r="Q72" s="4"/>
      <c r="R72" s="4"/>
      <c r="S72" s="4"/>
      <c r="T72" s="4"/>
      <c r="U72" s="4"/>
      <c r="V72" s="6"/>
      <c r="W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row>
    <row r="73" spans="1:104" s="12" customFormat="1" x14ac:dyDescent="0.3">
      <c r="A73" s="6"/>
      <c r="B73" s="11" t="s">
        <v>8</v>
      </c>
      <c r="C73" s="11"/>
      <c r="V73" s="6"/>
      <c r="W73" s="6"/>
      <c r="X73"/>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row>
    <row r="74" spans="1:104" s="6" customFormat="1" x14ac:dyDescent="0.3">
      <c r="B74" s="693" t="s">
        <v>70</v>
      </c>
      <c r="C74" s="690"/>
      <c r="G74" s="7">
        <v>30059254</v>
      </c>
      <c r="H74" s="7">
        <v>32582494</v>
      </c>
      <c r="I74" s="7">
        <v>34427693</v>
      </c>
      <c r="J74" s="7">
        <v>36673940</v>
      </c>
      <c r="K74" s="7">
        <v>36075934</v>
      </c>
      <c r="L74" s="7">
        <v>35216765</v>
      </c>
      <c r="M74" s="7">
        <v>31356165</v>
      </c>
      <c r="N74" s="7">
        <v>33003735</v>
      </c>
      <c r="O74" s="7">
        <v>29292683</v>
      </c>
      <c r="P74" s="7">
        <v>28465954</v>
      </c>
      <c r="Q74" s="7">
        <v>27123049</v>
      </c>
      <c r="R74" s="7">
        <v>27337222</v>
      </c>
      <c r="S74" s="7">
        <v>28927513</v>
      </c>
      <c r="T74" s="7">
        <v>29757285</v>
      </c>
      <c r="U74" s="7">
        <v>30339801</v>
      </c>
    </row>
    <row r="75" spans="1:104" s="6" customFormat="1" x14ac:dyDescent="0.3">
      <c r="B75" s="693" t="s">
        <v>71</v>
      </c>
      <c r="C75" s="690"/>
      <c r="G75" s="7">
        <v>1637090</v>
      </c>
      <c r="H75" s="7">
        <v>1854960</v>
      </c>
      <c r="I75" s="7">
        <v>2164042</v>
      </c>
      <c r="J75" s="7">
        <v>2164437</v>
      </c>
      <c r="K75" s="7">
        <v>2331223</v>
      </c>
      <c r="L75" s="7">
        <v>2700416</v>
      </c>
      <c r="M75" s="7">
        <v>2869745</v>
      </c>
      <c r="N75" s="7">
        <v>2777390</v>
      </c>
      <c r="O75" s="7">
        <v>2807027</v>
      </c>
      <c r="P75" s="7">
        <v>2893284</v>
      </c>
      <c r="Q75" s="7">
        <v>2852349</v>
      </c>
      <c r="R75" s="7">
        <v>2943339</v>
      </c>
      <c r="S75" s="7">
        <v>3187396</v>
      </c>
      <c r="T75" s="7">
        <v>3348025</v>
      </c>
      <c r="U75" s="7">
        <v>3261069</v>
      </c>
    </row>
    <row r="76" spans="1:104" x14ac:dyDescent="0.3">
      <c r="B76" s="693" t="s">
        <v>73</v>
      </c>
      <c r="C76" s="690"/>
      <c r="D76" s="7">
        <v>4000000</v>
      </c>
      <c r="E76" s="7">
        <v>4500000</v>
      </c>
      <c r="F76" s="14">
        <v>5386993</v>
      </c>
      <c r="G76" s="2">
        <v>5683337</v>
      </c>
      <c r="H76" s="2">
        <v>6120203</v>
      </c>
      <c r="I76" s="2">
        <v>6452352</v>
      </c>
      <c r="J76" s="2">
        <v>6727968</v>
      </c>
      <c r="K76" s="2">
        <v>7445870</v>
      </c>
      <c r="L76" s="2">
        <v>8637266</v>
      </c>
      <c r="M76" s="7">
        <v>8930736</v>
      </c>
      <c r="N76" s="7">
        <v>9407232</v>
      </c>
      <c r="O76" s="7">
        <v>9618048</v>
      </c>
      <c r="P76" s="7">
        <v>9801648</v>
      </c>
      <c r="Q76" s="7">
        <v>9938160</v>
      </c>
      <c r="R76" s="7">
        <v>10611994</v>
      </c>
      <c r="S76" s="7">
        <v>11448864</v>
      </c>
      <c r="T76" s="7">
        <v>11945664</v>
      </c>
      <c r="U76" s="7">
        <v>12040704</v>
      </c>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row>
    <row r="77" spans="1:104" x14ac:dyDescent="0.3">
      <c r="B77" s="694" t="s">
        <v>72</v>
      </c>
      <c r="C77" s="691"/>
      <c r="D77" s="22"/>
      <c r="E77" s="22"/>
      <c r="F77" s="20"/>
      <c r="G77" s="22">
        <v>861425</v>
      </c>
      <c r="H77" s="22">
        <v>931697</v>
      </c>
      <c r="I77" s="22">
        <v>889053</v>
      </c>
      <c r="J77" s="22">
        <v>913171</v>
      </c>
      <c r="K77" s="22">
        <v>945527</v>
      </c>
      <c r="L77" s="22">
        <v>975172</v>
      </c>
      <c r="M77" s="22">
        <v>845425</v>
      </c>
      <c r="N77" s="22">
        <v>892913</v>
      </c>
      <c r="O77" s="22">
        <v>979216</v>
      </c>
      <c r="P77" s="22">
        <v>1070018</v>
      </c>
      <c r="Q77" s="22">
        <v>1123771</v>
      </c>
      <c r="R77" s="22">
        <v>1048975</v>
      </c>
      <c r="S77" s="22">
        <v>1132940</v>
      </c>
      <c r="T77" s="7">
        <v>1135520</v>
      </c>
      <c r="U77" s="7">
        <v>1099283</v>
      </c>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row>
    <row r="78" spans="1:104" x14ac:dyDescent="0.3">
      <c r="B78" s="694" t="s">
        <v>74</v>
      </c>
      <c r="C78" s="691"/>
      <c r="D78" s="22"/>
      <c r="E78" s="22"/>
      <c r="F78" s="20"/>
      <c r="G78" s="22">
        <v>15480</v>
      </c>
      <c r="H78" s="22">
        <v>18860</v>
      </c>
      <c r="I78" s="22">
        <v>17360</v>
      </c>
      <c r="J78" s="22">
        <v>15426</v>
      </c>
      <c r="K78" s="22">
        <v>14766</v>
      </c>
      <c r="L78" s="22">
        <v>17226</v>
      </c>
      <c r="M78" s="22">
        <v>14360</v>
      </c>
      <c r="N78" s="22">
        <v>48816</v>
      </c>
      <c r="O78" s="22">
        <v>35216</v>
      </c>
      <c r="P78" s="22">
        <v>41645</v>
      </c>
      <c r="Q78" s="22">
        <v>37008</v>
      </c>
      <c r="R78" s="22">
        <v>38413</v>
      </c>
      <c r="S78" s="22">
        <v>43977</v>
      </c>
      <c r="T78" s="7">
        <v>48000</v>
      </c>
      <c r="U78" s="7">
        <v>52111</v>
      </c>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row>
    <row r="79" spans="1:104" x14ac:dyDescent="0.3">
      <c r="B79" s="694" t="s">
        <v>75</v>
      </c>
      <c r="C79" s="691"/>
      <c r="D79" s="22"/>
      <c r="E79" s="22"/>
      <c r="F79" s="20"/>
      <c r="G79" s="22"/>
      <c r="H79" s="22"/>
      <c r="I79" s="22">
        <v>151900</v>
      </c>
      <c r="J79" s="22">
        <v>134978</v>
      </c>
      <c r="K79" s="22">
        <v>129202</v>
      </c>
      <c r="L79" s="22">
        <v>150728</v>
      </c>
      <c r="M79" s="22">
        <v>125650</v>
      </c>
      <c r="N79" s="22">
        <v>158200</v>
      </c>
      <c r="O79" s="22">
        <v>192588</v>
      </c>
      <c r="P79" s="22">
        <v>202440</v>
      </c>
      <c r="Q79" s="22">
        <v>231298</v>
      </c>
      <c r="R79" s="22">
        <v>236285</v>
      </c>
      <c r="S79" s="22">
        <v>244860</v>
      </c>
      <c r="T79" s="7">
        <v>266018</v>
      </c>
      <c r="U79" s="7">
        <v>254756</v>
      </c>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row>
    <row r="80" spans="1:104" x14ac:dyDescent="0.3">
      <c r="B80" s="693" t="s">
        <v>76</v>
      </c>
      <c r="C80" s="690"/>
      <c r="D80" s="7"/>
      <c r="E80" s="7"/>
      <c r="F80" s="14"/>
      <c r="G80" s="2">
        <v>3508158</v>
      </c>
      <c r="H80" s="2">
        <v>3594681</v>
      </c>
      <c r="I80" s="2">
        <v>5279334</v>
      </c>
      <c r="J80" s="2">
        <v>4351252</v>
      </c>
      <c r="K80" s="2">
        <v>4447739</v>
      </c>
      <c r="L80" s="2">
        <v>3940716</v>
      </c>
      <c r="M80" s="7">
        <v>3404010</v>
      </c>
      <c r="N80" s="7">
        <v>3310459</v>
      </c>
      <c r="O80" s="7">
        <v>3368510</v>
      </c>
      <c r="P80" s="7">
        <v>2569270</v>
      </c>
      <c r="Q80" s="7">
        <v>3390392</v>
      </c>
      <c r="R80" s="7">
        <v>3124236</v>
      </c>
      <c r="S80" s="7">
        <v>2915524</v>
      </c>
      <c r="T80" s="7">
        <v>2757483</v>
      </c>
      <c r="U80" s="7">
        <v>2992811</v>
      </c>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row>
    <row r="81" spans="1:104" x14ac:dyDescent="0.3">
      <c r="B81" s="693" t="s">
        <v>77</v>
      </c>
      <c r="C81" s="690"/>
      <c r="D81" s="7"/>
      <c r="E81" s="7"/>
      <c r="F81" s="14"/>
      <c r="G81" s="2">
        <v>45484</v>
      </c>
      <c r="H81" s="2">
        <v>49224</v>
      </c>
      <c r="I81" s="2">
        <v>54386</v>
      </c>
      <c r="J81" s="2">
        <v>58516</v>
      </c>
      <c r="K81" s="2">
        <v>65746</v>
      </c>
      <c r="L81" s="2">
        <v>92872</v>
      </c>
      <c r="M81" s="7">
        <v>87872</v>
      </c>
      <c r="N81" s="7">
        <v>86792</v>
      </c>
      <c r="O81" s="7">
        <v>93980</v>
      </c>
      <c r="P81" s="7">
        <v>99060</v>
      </c>
      <c r="Q81" s="7">
        <v>105078</v>
      </c>
      <c r="R81" s="7">
        <v>112478</v>
      </c>
      <c r="S81" s="7">
        <v>130457</v>
      </c>
      <c r="T81" s="7">
        <v>152460</v>
      </c>
      <c r="U81" s="7">
        <v>156537</v>
      </c>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row>
    <row r="82" spans="1:104" x14ac:dyDescent="0.3">
      <c r="B82" s="690" t="s">
        <v>78</v>
      </c>
      <c r="C82" s="690"/>
      <c r="D82" s="7"/>
      <c r="E82" s="7">
        <v>87696</v>
      </c>
      <c r="F82" s="14">
        <v>93170</v>
      </c>
      <c r="G82" s="2">
        <v>121746</v>
      </c>
      <c r="H82" s="2">
        <v>139141</v>
      </c>
      <c r="I82" s="2">
        <v>147688</v>
      </c>
      <c r="J82" s="2">
        <v>159840</v>
      </c>
      <c r="K82" s="2">
        <v>179092</v>
      </c>
      <c r="L82" s="2">
        <v>213408</v>
      </c>
      <c r="M82" s="7">
        <v>215568</v>
      </c>
      <c r="N82" s="7">
        <v>258345</v>
      </c>
      <c r="O82" s="7">
        <v>289930</v>
      </c>
      <c r="P82" s="7">
        <v>301760</v>
      </c>
      <c r="Q82" s="7">
        <v>305516</v>
      </c>
      <c r="R82" s="7">
        <v>344010</v>
      </c>
      <c r="S82" s="7">
        <v>377111</v>
      </c>
      <c r="T82" s="7">
        <v>424527</v>
      </c>
      <c r="U82" s="7">
        <v>398190</v>
      </c>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row>
    <row r="83" spans="1:104" x14ac:dyDescent="0.3">
      <c r="B83" s="691" t="s">
        <v>79</v>
      </c>
      <c r="C83" s="691"/>
      <c r="D83" s="22"/>
      <c r="E83" s="22"/>
      <c r="F83" s="20"/>
      <c r="G83" s="22">
        <v>220914</v>
      </c>
      <c r="H83" s="22">
        <v>125654</v>
      </c>
      <c r="I83" s="22">
        <v>125735</v>
      </c>
      <c r="J83" s="22">
        <v>175702</v>
      </c>
      <c r="K83" s="22">
        <v>177055</v>
      </c>
      <c r="L83" s="22">
        <v>189178</v>
      </c>
      <c r="M83" s="22">
        <v>159428</v>
      </c>
      <c r="N83" s="22">
        <v>188649</v>
      </c>
      <c r="O83" s="22">
        <v>175535</v>
      </c>
      <c r="P83" s="22">
        <v>98851</v>
      </c>
      <c r="Q83" s="22">
        <v>149310</v>
      </c>
      <c r="R83" s="22">
        <v>153594</v>
      </c>
      <c r="S83" s="22">
        <v>114866</v>
      </c>
      <c r="T83" s="7">
        <v>117064</v>
      </c>
      <c r="U83" s="7">
        <v>125869</v>
      </c>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row>
    <row r="84" spans="1:104" x14ac:dyDescent="0.3">
      <c r="B84" s="691" t="s">
        <v>80</v>
      </c>
      <c r="C84" s="691"/>
      <c r="D84" s="22"/>
      <c r="E84" s="22"/>
      <c r="F84" s="20"/>
      <c r="G84" s="22">
        <v>8760</v>
      </c>
      <c r="H84" s="22">
        <v>8880</v>
      </c>
      <c r="I84" s="22">
        <v>7656</v>
      </c>
      <c r="J84" s="22">
        <v>10716</v>
      </c>
      <c r="K84" s="22">
        <v>12431</v>
      </c>
      <c r="L84" s="22">
        <v>16076</v>
      </c>
      <c r="M84" s="22">
        <v>16249</v>
      </c>
      <c r="N84" s="22">
        <v>17158</v>
      </c>
      <c r="O84" s="22">
        <v>19022</v>
      </c>
      <c r="P84" s="22">
        <v>19678</v>
      </c>
      <c r="Q84" s="22">
        <v>17897</v>
      </c>
      <c r="R84" s="22">
        <v>21679</v>
      </c>
      <c r="S84" s="22">
        <v>24910</v>
      </c>
      <c r="T84" s="7">
        <v>27768</v>
      </c>
      <c r="U84" s="7">
        <v>22725</v>
      </c>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row>
    <row r="85" spans="1:104" x14ac:dyDescent="0.3">
      <c r="B85" s="691" t="s">
        <v>81</v>
      </c>
      <c r="C85" s="691"/>
      <c r="D85" s="22"/>
      <c r="E85" s="22">
        <v>19008</v>
      </c>
      <c r="F85" s="20">
        <v>25056</v>
      </c>
      <c r="G85" s="22">
        <v>31536</v>
      </c>
      <c r="H85" s="22">
        <v>31968</v>
      </c>
      <c r="I85" s="22">
        <v>28512</v>
      </c>
      <c r="J85" s="22">
        <v>38578</v>
      </c>
      <c r="K85" s="22">
        <v>44020</v>
      </c>
      <c r="L85" s="22">
        <v>54259</v>
      </c>
      <c r="M85" s="22">
        <v>49486</v>
      </c>
      <c r="N85" s="22">
        <v>66182</v>
      </c>
      <c r="O85" s="22">
        <v>69638</v>
      </c>
      <c r="P85" s="22">
        <v>75902</v>
      </c>
      <c r="Q85" s="22">
        <v>70286</v>
      </c>
      <c r="R85" s="22">
        <v>92578</v>
      </c>
      <c r="S85" s="22">
        <v>93917</v>
      </c>
      <c r="T85" s="7">
        <v>100613</v>
      </c>
      <c r="U85" s="7">
        <v>98172</v>
      </c>
      <c r="V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row>
    <row r="86" spans="1:104" x14ac:dyDescent="0.3">
      <c r="B86" s="690" t="s">
        <v>140</v>
      </c>
      <c r="C86" s="690"/>
      <c r="D86" s="7">
        <v>138000</v>
      </c>
      <c r="E86" s="7">
        <v>111404</v>
      </c>
      <c r="F86" s="14">
        <v>111404</v>
      </c>
      <c r="G86" s="2">
        <v>107711</v>
      </c>
      <c r="H86" s="2">
        <v>108576</v>
      </c>
      <c r="R86" s="212">
        <f>R75*0.026</f>
        <v>76526.813999999998</v>
      </c>
      <c r="S86" s="212">
        <f>S75*0.025</f>
        <v>79684.900000000009</v>
      </c>
      <c r="T86" s="212">
        <f>T75*0.0281</f>
        <v>94079.502500000002</v>
      </c>
      <c r="U86" s="212"/>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row>
    <row r="87" spans="1:104" s="475" customFormat="1" x14ac:dyDescent="0.3">
      <c r="A87" s="6"/>
      <c r="B87" s="631" t="s">
        <v>807</v>
      </c>
      <c r="C87" s="631"/>
      <c r="D87" s="158">
        <f t="shared" ref="D87:T87" si="29">SUM(D85,D82,D79,D76)</f>
        <v>4000000</v>
      </c>
      <c r="E87" s="158">
        <f t="shared" si="29"/>
        <v>4606704</v>
      </c>
      <c r="F87" s="158">
        <f t="shared" si="29"/>
        <v>5505219</v>
      </c>
      <c r="G87" s="158">
        <f t="shared" si="29"/>
        <v>5836619</v>
      </c>
      <c r="H87" s="158">
        <f t="shared" si="29"/>
        <v>6291312</v>
      </c>
      <c r="I87" s="158">
        <f t="shared" si="29"/>
        <v>6780452</v>
      </c>
      <c r="J87" s="158">
        <f t="shared" si="29"/>
        <v>7061364</v>
      </c>
      <c r="K87" s="158">
        <f t="shared" si="29"/>
        <v>7798184</v>
      </c>
      <c r="L87" s="158">
        <f t="shared" si="29"/>
        <v>9055661</v>
      </c>
      <c r="M87" s="158">
        <f t="shared" si="29"/>
        <v>9321440</v>
      </c>
      <c r="N87" s="158">
        <f t="shared" si="29"/>
        <v>9889959</v>
      </c>
      <c r="O87" s="158">
        <f t="shared" si="29"/>
        <v>10170204</v>
      </c>
      <c r="P87" s="158">
        <f t="shared" si="29"/>
        <v>10381750</v>
      </c>
      <c r="Q87" s="158">
        <f t="shared" si="29"/>
        <v>10545260</v>
      </c>
      <c r="R87" s="158">
        <f t="shared" si="29"/>
        <v>11284867</v>
      </c>
      <c r="S87" s="158">
        <f t="shared" si="29"/>
        <v>12164752</v>
      </c>
      <c r="T87" s="158">
        <f t="shared" si="29"/>
        <v>12736822</v>
      </c>
      <c r="U87" s="158">
        <f>SUM(U85,U82,U79,U76)</f>
        <v>12791822</v>
      </c>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row>
    <row r="88" spans="1:104" s="12" customFormat="1" x14ac:dyDescent="0.3">
      <c r="A88" s="6"/>
      <c r="B88" s="11" t="s">
        <v>27</v>
      </c>
      <c r="C88" s="11"/>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row>
    <row r="89" spans="1:104" x14ac:dyDescent="0.3">
      <c r="B89" s="690" t="s">
        <v>28</v>
      </c>
      <c r="C89" s="690"/>
      <c r="D89" s="6"/>
      <c r="E89" s="6"/>
      <c r="F89" s="6"/>
      <c r="K89" t="s">
        <v>85</v>
      </c>
      <c r="L89" t="s">
        <v>85</v>
      </c>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row>
    <row r="90" spans="1:104" x14ac:dyDescent="0.3">
      <c r="B90" s="690" t="s">
        <v>63</v>
      </c>
      <c r="C90" s="690"/>
      <c r="D90">
        <v>437</v>
      </c>
      <c r="E90" s="7">
        <v>218</v>
      </c>
      <c r="F90" s="7">
        <v>518</v>
      </c>
      <c r="G90" s="2">
        <v>575</v>
      </c>
      <c r="H90" s="2">
        <v>602</v>
      </c>
      <c r="K90" s="17"/>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row>
    <row r="91" spans="1:104" x14ac:dyDescent="0.3">
      <c r="B91" s="690" t="s">
        <v>505</v>
      </c>
      <c r="C91" s="690"/>
      <c r="E91" s="7">
        <v>204</v>
      </c>
      <c r="F91" s="7"/>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row>
    <row r="92" spans="1:104" x14ac:dyDescent="0.3">
      <c r="B92" s="690" t="s">
        <v>64</v>
      </c>
      <c r="C92" s="690"/>
      <c r="D92">
        <v>30</v>
      </c>
      <c r="E92">
        <v>30</v>
      </c>
      <c r="F92">
        <v>46</v>
      </c>
      <c r="G92">
        <v>43</v>
      </c>
      <c r="H92">
        <v>45</v>
      </c>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row>
    <row r="93" spans="1:104" x14ac:dyDescent="0.3">
      <c r="B93" s="690" t="s">
        <v>86</v>
      </c>
      <c r="C93" s="690"/>
      <c r="K93" s="17">
        <v>1</v>
      </c>
      <c r="L93" s="17">
        <v>1</v>
      </c>
      <c r="M93" s="17">
        <v>1</v>
      </c>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row>
    <row r="94" spans="1:104" x14ac:dyDescent="0.3">
      <c r="B94" s="690" t="s">
        <v>87</v>
      </c>
      <c r="C94" s="690"/>
      <c r="K94" s="17">
        <v>0.95</v>
      </c>
      <c r="L94" s="17">
        <v>0.95</v>
      </c>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row>
    <row r="95" spans="1:104" x14ac:dyDescent="0.3">
      <c r="B95" s="9"/>
      <c r="C95" s="9"/>
      <c r="K95" s="17"/>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row>
    <row r="96" spans="1:104" x14ac:dyDescent="0.3">
      <c r="B96" s="11" t="s">
        <v>165</v>
      </c>
      <c r="C96" s="11"/>
      <c r="D96" s="12"/>
      <c r="E96" s="12"/>
      <c r="F96" s="12"/>
      <c r="G96" s="12"/>
      <c r="H96" s="12"/>
      <c r="I96" s="12"/>
      <c r="J96" s="12"/>
      <c r="K96" s="31"/>
      <c r="L96" s="12"/>
      <c r="M96" s="31"/>
      <c r="N96" s="12"/>
      <c r="O96" s="31"/>
      <c r="P96" s="12"/>
      <c r="Q96" s="31"/>
      <c r="R96" s="31"/>
      <c r="S96" s="31"/>
      <c r="T96" s="31"/>
      <c r="U96" s="31"/>
      <c r="V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row>
    <row r="97" spans="1:97" x14ac:dyDescent="0.3">
      <c r="B97" s="33"/>
      <c r="C97" s="33"/>
      <c r="D97" s="32">
        <v>2000</v>
      </c>
      <c r="E97" s="32">
        <v>2001</v>
      </c>
      <c r="F97" s="32">
        <v>2002</v>
      </c>
      <c r="G97" s="32">
        <v>2003</v>
      </c>
      <c r="H97" s="32">
        <v>2004</v>
      </c>
      <c r="I97" s="32">
        <v>2005</v>
      </c>
      <c r="J97" s="32">
        <v>2006</v>
      </c>
      <c r="K97" s="39">
        <v>2007</v>
      </c>
      <c r="L97" s="39">
        <v>2008</v>
      </c>
      <c r="M97" s="39">
        <v>2009</v>
      </c>
      <c r="N97" s="39">
        <v>2010</v>
      </c>
      <c r="O97" s="39">
        <v>2011</v>
      </c>
      <c r="P97" s="39">
        <v>2012</v>
      </c>
      <c r="Q97" s="39">
        <v>2013</v>
      </c>
      <c r="R97" s="39">
        <v>2014</v>
      </c>
      <c r="S97" s="39">
        <v>2015</v>
      </c>
      <c r="T97" s="39">
        <v>2016</v>
      </c>
      <c r="U97" s="39">
        <v>2017</v>
      </c>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row>
    <row r="98" spans="1:97" x14ac:dyDescent="0.3">
      <c r="B98" s="690" t="s">
        <v>88</v>
      </c>
      <c r="C98" s="690"/>
      <c r="D98" s="60"/>
      <c r="E98" s="60"/>
      <c r="F98" s="10"/>
      <c r="G98" s="10"/>
      <c r="H98" s="10"/>
      <c r="I98" s="10"/>
      <c r="J98" s="10"/>
      <c r="K98" s="207">
        <f>99+3+1+1</f>
        <v>104</v>
      </c>
      <c r="L98" s="207">
        <f>97+4+3+1</f>
        <v>105</v>
      </c>
      <c r="M98" s="10">
        <f>84+3+1</f>
        <v>88</v>
      </c>
      <c r="N98" s="10">
        <f>104+8</f>
        <v>112</v>
      </c>
      <c r="O98" s="10">
        <f>95+16+4+1</f>
        <v>116</v>
      </c>
      <c r="P98" s="10">
        <f>110+14+1+1</f>
        <v>126</v>
      </c>
      <c r="Q98" s="10">
        <f>105+18+1+1+1</f>
        <v>126</v>
      </c>
      <c r="R98" s="10">
        <v>116</v>
      </c>
      <c r="S98" s="10">
        <v>138</v>
      </c>
      <c r="T98" s="211">
        <v>142.6</v>
      </c>
      <c r="U98" s="6">
        <v>159</v>
      </c>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row>
    <row r="99" spans="1:97" x14ac:dyDescent="0.3">
      <c r="B99" s="690" t="s">
        <v>89</v>
      </c>
      <c r="C99" s="690"/>
      <c r="D99" s="10"/>
      <c r="E99" s="10"/>
      <c r="F99" s="10"/>
      <c r="G99" s="10"/>
      <c r="H99" s="10"/>
      <c r="I99" s="10"/>
      <c r="J99" s="10"/>
      <c r="K99" s="125">
        <v>31138</v>
      </c>
      <c r="L99" s="125">
        <v>31433</v>
      </c>
      <c r="M99" s="14">
        <f>'Bevs(2000-2017)'!M212</f>
        <v>31313</v>
      </c>
      <c r="N99" s="14">
        <f>'Bevs(2000-2017)'!N212</f>
        <v>31303</v>
      </c>
      <c r="O99" s="14">
        <f>'Bevs(2000-2017)'!O212</f>
        <v>31581</v>
      </c>
      <c r="P99" s="14">
        <f>'Bevs(2000-2017)'!P212</f>
        <v>31256</v>
      </c>
      <c r="Q99" s="14">
        <f>'Bevs(2000-2017)'!Q212</f>
        <v>30863</v>
      </c>
      <c r="R99" s="14">
        <f>'Bevs(2000-2017)'!R212</f>
        <v>30876</v>
      </c>
      <c r="S99" s="14">
        <v>30106</v>
      </c>
      <c r="T99" s="14">
        <v>30721</v>
      </c>
      <c r="U99" s="14">
        <v>32665</v>
      </c>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row>
    <row r="100" spans="1:97" s="475" customFormat="1" x14ac:dyDescent="0.3">
      <c r="A100" s="6"/>
      <c r="B100" s="34" t="s">
        <v>193</v>
      </c>
      <c r="C100" s="542"/>
      <c r="D100" s="10"/>
      <c r="E100" s="10"/>
      <c r="F100" s="10"/>
      <c r="G100" s="10"/>
      <c r="H100" s="10"/>
      <c r="I100" s="10"/>
      <c r="J100" s="10"/>
      <c r="K100" s="125"/>
      <c r="L100" s="125"/>
      <c r="M100" s="14"/>
      <c r="N100" s="14"/>
      <c r="O100" s="14"/>
      <c r="P100" s="14"/>
      <c r="Q100" s="14"/>
      <c r="R100" s="14"/>
      <c r="S100" s="14"/>
      <c r="T100" s="14"/>
      <c r="U100" s="61">
        <f>U98/U99</f>
        <v>4.8675952854737485E-3</v>
      </c>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row>
    <row r="101" spans="1:97" s="6" customFormat="1" x14ac:dyDescent="0.3">
      <c r="B101" s="691" t="s">
        <v>90</v>
      </c>
      <c r="C101" s="691"/>
      <c r="D101" s="46"/>
      <c r="E101" s="46"/>
      <c r="F101" s="46"/>
      <c r="G101" s="46"/>
      <c r="H101" s="46"/>
      <c r="I101" s="46"/>
      <c r="J101" s="46"/>
      <c r="K101" s="206">
        <f>96+15</f>
        <v>111</v>
      </c>
      <c r="L101" s="206">
        <f>98+14+1</f>
        <v>113</v>
      </c>
      <c r="M101" s="206">
        <f>91+10</f>
        <v>101</v>
      </c>
      <c r="N101" s="206">
        <f>124+15</f>
        <v>139</v>
      </c>
      <c r="O101" s="206">
        <f>94+12</f>
        <v>106</v>
      </c>
      <c r="P101" s="206">
        <f>100+9</f>
        <v>109</v>
      </c>
      <c r="Q101" s="206">
        <f>91+12</f>
        <v>103</v>
      </c>
      <c r="R101" s="206">
        <v>80</v>
      </c>
      <c r="S101" s="206">
        <v>135</v>
      </c>
      <c r="T101" s="211">
        <v>104.5</v>
      </c>
      <c r="U101" s="6">
        <v>104</v>
      </c>
    </row>
    <row r="102" spans="1:97" s="6" customFormat="1" x14ac:dyDescent="0.3">
      <c r="B102" s="691" t="s">
        <v>91</v>
      </c>
      <c r="C102" s="691"/>
      <c r="D102" s="19"/>
      <c r="E102" s="19"/>
      <c r="F102" s="19"/>
      <c r="G102" s="19"/>
      <c r="H102" s="19"/>
      <c r="I102" s="19"/>
      <c r="J102" s="19"/>
      <c r="K102" s="127">
        <v>38471</v>
      </c>
      <c r="L102" s="127">
        <v>38783</v>
      </c>
      <c r="M102" s="127">
        <f>'Bevs(2000-2017)'!M215</f>
        <v>38790</v>
      </c>
      <c r="N102" s="127">
        <f>'Bevs(2000-2017)'!N215</f>
        <v>39228</v>
      </c>
      <c r="O102" s="127">
        <f>'Bevs(2000-2017)'!O215</f>
        <v>39905</v>
      </c>
      <c r="P102" s="127">
        <f>'Bevs(2000-2017)'!P215</f>
        <v>39989</v>
      </c>
      <c r="Q102" s="127">
        <f>'Bevs(2000-2017)'!Q215</f>
        <v>40066</v>
      </c>
      <c r="R102" s="127">
        <f>'Bevs(2000-2017)'!R215</f>
        <v>40387</v>
      </c>
      <c r="S102" s="14">
        <v>39997</v>
      </c>
      <c r="T102" s="14">
        <v>40383</v>
      </c>
      <c r="U102" s="14">
        <v>39803</v>
      </c>
      <c r="V102" s="14"/>
    </row>
    <row r="103" spans="1:97" s="6" customFormat="1" x14ac:dyDescent="0.3">
      <c r="B103" s="34" t="s">
        <v>193</v>
      </c>
      <c r="C103" s="541"/>
      <c r="D103" s="19"/>
      <c r="E103" s="19"/>
      <c r="F103" s="19"/>
      <c r="G103" s="19"/>
      <c r="H103" s="19"/>
      <c r="I103" s="19"/>
      <c r="J103" s="19"/>
      <c r="K103" s="127"/>
      <c r="L103" s="127"/>
      <c r="M103" s="127"/>
      <c r="N103" s="127"/>
      <c r="O103" s="127"/>
      <c r="P103" s="127"/>
      <c r="Q103" s="127"/>
      <c r="R103" s="127"/>
      <c r="S103" s="14"/>
      <c r="T103" s="14"/>
      <c r="U103" s="61">
        <f>U101/U102</f>
        <v>2.6128683767555208E-3</v>
      </c>
      <c r="V103" s="14"/>
    </row>
    <row r="104" spans="1:97" x14ac:dyDescent="0.3">
      <c r="B104" s="690" t="s">
        <v>92</v>
      </c>
      <c r="C104" s="690"/>
      <c r="D104" s="10"/>
      <c r="E104" s="10"/>
      <c r="F104" s="10"/>
      <c r="G104" s="10"/>
      <c r="H104" s="10"/>
      <c r="I104" s="10"/>
      <c r="J104" s="10"/>
      <c r="K104" s="207">
        <f>2514+64+79+28.3+9.9</f>
        <v>2695.2000000000003</v>
      </c>
      <c r="L104" s="207">
        <f>2626+68+91+31.3+10.5</f>
        <v>2826.8</v>
      </c>
      <c r="M104" s="208">
        <f>2497+85+84+38.3+10.3</f>
        <v>2714.6000000000004</v>
      </c>
      <c r="N104" s="208">
        <f>2512+76+88+32.3+11.6</f>
        <v>2719.9</v>
      </c>
      <c r="O104" s="208">
        <f>2581+82.3+83+37.3+14</f>
        <v>2797.6000000000004</v>
      </c>
      <c r="P104" s="10">
        <f>2407+82+84+33+21</f>
        <v>2627</v>
      </c>
      <c r="Q104" s="10">
        <f>2364+77.9+84+23+28.4</f>
        <v>2577.3000000000002</v>
      </c>
      <c r="R104" s="10">
        <v>2871</v>
      </c>
      <c r="S104" s="14">
        <v>3145</v>
      </c>
      <c r="T104" s="7">
        <v>3359.7</v>
      </c>
      <c r="U104" s="7">
        <v>3320</v>
      </c>
      <c r="V104" s="14"/>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row>
    <row r="105" spans="1:97" x14ac:dyDescent="0.3">
      <c r="B105" s="690" t="s">
        <v>93</v>
      </c>
      <c r="C105" s="690"/>
      <c r="D105" s="10"/>
      <c r="E105" s="10"/>
      <c r="F105" s="10"/>
      <c r="G105" s="10"/>
      <c r="H105" s="10"/>
      <c r="I105" s="10"/>
      <c r="J105" s="10"/>
      <c r="K105" s="125">
        <v>359272</v>
      </c>
      <c r="L105" s="125">
        <v>364045</v>
      </c>
      <c r="M105" s="14">
        <f>'Bevs(2000-2017)'!M218</f>
        <v>363445</v>
      </c>
      <c r="N105" s="14">
        <f>'Bevs(2000-2017)'!N218</f>
        <v>366515</v>
      </c>
      <c r="O105" s="14">
        <f>'Bevs(2000-2017)'!O218</f>
        <v>367632</v>
      </c>
      <c r="P105" s="14">
        <f>'Bevs(2000-2017)'!P218</f>
        <v>368935</v>
      </c>
      <c r="Q105" s="14">
        <f>'Bevs(2000-2017)'!Q218</f>
        <v>371265</v>
      </c>
      <c r="R105" s="14">
        <f>'Bevs(2000-2017)'!R218</f>
        <v>372463</v>
      </c>
      <c r="S105" s="14">
        <v>377809</v>
      </c>
      <c r="T105" s="14">
        <v>382645</v>
      </c>
      <c r="U105" s="14">
        <v>408233</v>
      </c>
      <c r="V105" s="14"/>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row>
    <row r="106" spans="1:97" s="475" customFormat="1" x14ac:dyDescent="0.3">
      <c r="A106" s="6"/>
      <c r="B106" s="34" t="s">
        <v>193</v>
      </c>
      <c r="C106" s="542"/>
      <c r="D106" s="10"/>
      <c r="E106" s="10"/>
      <c r="F106" s="10"/>
      <c r="G106" s="10"/>
      <c r="H106" s="10"/>
      <c r="I106" s="10"/>
      <c r="J106" s="10"/>
      <c r="K106" s="125"/>
      <c r="L106" s="125"/>
      <c r="M106" s="14"/>
      <c r="N106" s="14"/>
      <c r="O106" s="14"/>
      <c r="P106" s="14"/>
      <c r="Q106" s="14"/>
      <c r="R106" s="14"/>
      <c r="S106" s="14"/>
      <c r="T106" s="14"/>
      <c r="U106" s="61">
        <f>U104/U105</f>
        <v>8.1326105434886449E-3</v>
      </c>
      <c r="V106" s="14"/>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row>
    <row r="107" spans="1:97" x14ac:dyDescent="0.3">
      <c r="B107" s="691" t="s">
        <v>94</v>
      </c>
      <c r="C107" s="691"/>
      <c r="D107" s="19"/>
      <c r="E107" s="19"/>
      <c r="F107" s="19"/>
      <c r="G107" s="19"/>
      <c r="H107" s="19"/>
      <c r="I107" s="19"/>
      <c r="J107" s="19"/>
      <c r="K107" s="206">
        <f>96+13</f>
        <v>109</v>
      </c>
      <c r="L107" s="206">
        <f>111+14+1</f>
        <v>126</v>
      </c>
      <c r="M107" s="206">
        <f>106+14+1</f>
        <v>121</v>
      </c>
      <c r="N107" s="206">
        <f>130+16</f>
        <v>146</v>
      </c>
      <c r="O107" s="206">
        <f>131+10+2</f>
        <v>143</v>
      </c>
      <c r="P107" s="206">
        <f>122+13+1+1</f>
        <v>137</v>
      </c>
      <c r="Q107" s="206">
        <f>141+14+2</f>
        <v>157</v>
      </c>
      <c r="R107" s="206">
        <v>191</v>
      </c>
      <c r="S107" s="14">
        <v>233</v>
      </c>
      <c r="T107" s="211">
        <v>224.9</v>
      </c>
      <c r="U107" s="14">
        <v>246</v>
      </c>
      <c r="V107" s="14"/>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row>
    <row r="108" spans="1:97" x14ac:dyDescent="0.3">
      <c r="B108" s="691" t="s">
        <v>95</v>
      </c>
      <c r="C108" s="691"/>
      <c r="D108" s="19"/>
      <c r="E108" s="19"/>
      <c r="F108" s="19"/>
      <c r="G108" s="19"/>
      <c r="H108" s="19"/>
      <c r="I108" s="19"/>
      <c r="J108" s="19"/>
      <c r="K108" s="127">
        <v>63436</v>
      </c>
      <c r="L108" s="127">
        <v>64574</v>
      </c>
      <c r="M108" s="127">
        <f>'Bevs(2000-2017)'!M221</f>
        <v>63294</v>
      </c>
      <c r="N108" s="127">
        <f>'Bevs(2000-2017)'!N221</f>
        <v>63087</v>
      </c>
      <c r="O108" s="127">
        <f>'Bevs(2000-2017)'!O221</f>
        <v>63314</v>
      </c>
      <c r="P108" s="127">
        <f>'Bevs(2000-2017)'!P221</f>
        <v>63091</v>
      </c>
      <c r="Q108" s="127">
        <f>'Bevs(2000-2017)'!Q221</f>
        <v>62885</v>
      </c>
      <c r="R108" s="127">
        <f>'Bevs(2000-2017)'!R221</f>
        <v>6311</v>
      </c>
      <c r="S108" s="14">
        <v>62263</v>
      </c>
      <c r="T108" s="14">
        <v>63111</v>
      </c>
      <c r="U108" s="14">
        <v>64935</v>
      </c>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row>
    <row r="109" spans="1:97" s="475" customFormat="1" x14ac:dyDescent="0.3">
      <c r="A109" s="6"/>
      <c r="B109" s="34" t="s">
        <v>193</v>
      </c>
      <c r="C109" s="541"/>
      <c r="D109" s="19"/>
      <c r="E109" s="19"/>
      <c r="F109" s="19"/>
      <c r="G109" s="19"/>
      <c r="H109" s="19"/>
      <c r="I109" s="19"/>
      <c r="J109" s="19"/>
      <c r="K109" s="127"/>
      <c r="L109" s="127"/>
      <c r="M109" s="127"/>
      <c r="N109" s="127"/>
      <c r="O109" s="127"/>
      <c r="P109" s="127"/>
      <c r="Q109" s="127"/>
      <c r="R109" s="127"/>
      <c r="S109" s="14"/>
      <c r="T109" s="14"/>
      <c r="U109" s="61">
        <f>U107/U108</f>
        <v>3.7884037884037885E-3</v>
      </c>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row>
    <row r="110" spans="1:97" x14ac:dyDescent="0.3">
      <c r="B110" s="690" t="s">
        <v>96</v>
      </c>
      <c r="C110" s="690"/>
      <c r="D110" s="10"/>
      <c r="E110" s="10"/>
      <c r="F110" s="10"/>
      <c r="G110" s="10"/>
      <c r="H110" s="10"/>
      <c r="I110" s="10"/>
      <c r="J110" s="10"/>
      <c r="K110" s="207">
        <f>8+1</f>
        <v>9</v>
      </c>
      <c r="L110" s="207">
        <f>7</f>
        <v>7</v>
      </c>
      <c r="M110" s="208">
        <v>6</v>
      </c>
      <c r="N110" s="208">
        <v>6</v>
      </c>
      <c r="O110" s="208">
        <v>4</v>
      </c>
      <c r="P110" s="208">
        <f>5+1</f>
        <v>6</v>
      </c>
      <c r="Q110" s="208">
        <f>8+1</f>
        <v>9</v>
      </c>
      <c r="R110" s="208">
        <v>15</v>
      </c>
      <c r="S110" s="14">
        <v>14</v>
      </c>
      <c r="T110" s="6">
        <v>20</v>
      </c>
      <c r="U110" s="208">
        <v>11</v>
      </c>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row>
    <row r="111" spans="1:97" x14ac:dyDescent="0.3">
      <c r="B111" s="690" t="s">
        <v>97</v>
      </c>
      <c r="C111" s="690"/>
      <c r="D111" s="10"/>
      <c r="E111" s="10"/>
      <c r="F111" s="10"/>
      <c r="G111" s="10"/>
      <c r="H111" s="10"/>
      <c r="I111" s="10"/>
      <c r="J111" s="10"/>
      <c r="K111" s="125">
        <v>3169</v>
      </c>
      <c r="L111" s="125">
        <v>3119</v>
      </c>
      <c r="M111" s="14">
        <f>'Bevs(2000-2017)'!M224</f>
        <v>3249</v>
      </c>
      <c r="N111" s="14">
        <f>'Bevs(2000-2017)'!N224</f>
        <v>3255</v>
      </c>
      <c r="O111" s="14">
        <f>'Bevs(2000-2017)'!O224</f>
        <v>3277</v>
      </c>
      <c r="P111" s="14">
        <f>'Bevs(2000-2017)'!P224</f>
        <v>3310</v>
      </c>
      <c r="Q111" s="14">
        <f>'Bevs(2000-2017)'!Q224</f>
        <v>3263</v>
      </c>
      <c r="R111" s="14">
        <f>'Bevs(2000-2017)'!R224</f>
        <v>3240</v>
      </c>
      <c r="S111" s="14">
        <v>3197</v>
      </c>
      <c r="T111" s="14">
        <v>3248</v>
      </c>
      <c r="U111" s="14">
        <v>3496</v>
      </c>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row>
    <row r="112" spans="1:97" s="475" customFormat="1" x14ac:dyDescent="0.3">
      <c r="A112" s="6"/>
      <c r="B112" s="34" t="s">
        <v>193</v>
      </c>
      <c r="C112" s="542"/>
      <c r="D112" s="10"/>
      <c r="E112" s="10"/>
      <c r="F112" s="10"/>
      <c r="G112" s="10"/>
      <c r="H112" s="10"/>
      <c r="I112" s="10"/>
      <c r="J112" s="10"/>
      <c r="K112" s="125"/>
      <c r="L112" s="125"/>
      <c r="M112" s="14"/>
      <c r="N112" s="14"/>
      <c r="O112" s="14"/>
      <c r="P112" s="14"/>
      <c r="Q112" s="14"/>
      <c r="R112" s="14"/>
      <c r="S112" s="14"/>
      <c r="T112" s="14"/>
      <c r="U112" s="61">
        <f>U110/U111</f>
        <v>3.1464530892448511E-3</v>
      </c>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row>
    <row r="113" spans="1:97" x14ac:dyDescent="0.3">
      <c r="B113" s="691" t="s">
        <v>98</v>
      </c>
      <c r="C113" s="691"/>
      <c r="D113" s="19"/>
      <c r="E113" s="19"/>
      <c r="F113" s="19"/>
      <c r="G113" s="19"/>
      <c r="H113" s="19"/>
      <c r="I113" s="19"/>
      <c r="J113" s="19"/>
      <c r="K113" s="206">
        <f>210+12+4+1+1</f>
        <v>228</v>
      </c>
      <c r="L113" s="206">
        <f>223+11+2+2+1</f>
        <v>239</v>
      </c>
      <c r="M113" s="206">
        <f>219+8+3+1+1</f>
        <v>232</v>
      </c>
      <c r="N113" s="206">
        <f>221+7+3+2+1</f>
        <v>234</v>
      </c>
      <c r="O113" s="206">
        <f>220+12+3+1+1</f>
        <v>237</v>
      </c>
      <c r="P113" s="206">
        <f>250+15+5+3+4</f>
        <v>277</v>
      </c>
      <c r="Q113" s="209">
        <f>239+14.8+4+2.9+2.3</f>
        <v>263</v>
      </c>
      <c r="R113" s="209">
        <v>320</v>
      </c>
      <c r="S113" s="14">
        <v>318</v>
      </c>
      <c r="T113" s="6">
        <v>329</v>
      </c>
      <c r="U113" s="6">
        <v>346</v>
      </c>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row>
    <row r="114" spans="1:97" x14ac:dyDescent="0.3">
      <c r="B114" s="691" t="s">
        <v>99</v>
      </c>
      <c r="C114" s="691"/>
      <c r="D114" s="19"/>
      <c r="E114" s="19"/>
      <c r="F114" s="19"/>
      <c r="G114" s="19"/>
      <c r="H114" s="19"/>
      <c r="I114" s="19"/>
      <c r="J114" s="19"/>
      <c r="K114" s="127">
        <v>57613</v>
      </c>
      <c r="L114" s="127">
        <v>58977</v>
      </c>
      <c r="M114" s="127">
        <f>'Bevs(2000-2017)'!M227</f>
        <v>58646</v>
      </c>
      <c r="N114" s="127">
        <f>'Bevs(2000-2017)'!N227</f>
        <v>58831</v>
      </c>
      <c r="O114" s="127">
        <f>'Bevs(2000-2017)'!O227</f>
        <v>59297</v>
      </c>
      <c r="P114" s="127">
        <f>'Bevs(2000-2017)'!P227</f>
        <v>59450</v>
      </c>
      <c r="Q114" s="127">
        <f>'Bevs(2000-2017)'!Q227</f>
        <v>59385</v>
      </c>
      <c r="R114" s="127">
        <f>'Bevs(2000-2017)'!R227</f>
        <v>60013</v>
      </c>
      <c r="S114" s="14">
        <v>60100</v>
      </c>
      <c r="T114" s="14">
        <v>60775</v>
      </c>
      <c r="U114" s="14">
        <v>62108</v>
      </c>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row>
    <row r="115" spans="1:97" s="475" customFormat="1" x14ac:dyDescent="0.3">
      <c r="A115" s="6"/>
      <c r="B115" s="34" t="s">
        <v>193</v>
      </c>
      <c r="C115" s="541"/>
      <c r="D115" s="19"/>
      <c r="E115" s="19"/>
      <c r="F115" s="19"/>
      <c r="G115" s="19"/>
      <c r="H115" s="19"/>
      <c r="I115" s="19"/>
      <c r="J115" s="19"/>
      <c r="K115" s="127"/>
      <c r="L115" s="127"/>
      <c r="M115" s="127"/>
      <c r="N115" s="127"/>
      <c r="O115" s="127"/>
      <c r="P115" s="127"/>
      <c r="Q115" s="127"/>
      <c r="R115" s="127"/>
      <c r="S115" s="14"/>
      <c r="T115" s="14"/>
      <c r="U115" s="61">
        <f>U113/U114</f>
        <v>5.5709409415856254E-3</v>
      </c>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row>
    <row r="116" spans="1:97" x14ac:dyDescent="0.3">
      <c r="B116" s="690" t="s">
        <v>100</v>
      </c>
      <c r="C116" s="690"/>
      <c r="D116" s="10"/>
      <c r="E116" s="10"/>
      <c r="F116" s="10"/>
      <c r="G116" s="10"/>
      <c r="H116" s="10"/>
      <c r="I116" s="10"/>
      <c r="J116" s="10"/>
      <c r="K116" s="207">
        <f>716+25+14+5+6.6</f>
        <v>766.6</v>
      </c>
      <c r="L116" s="207">
        <f>798+32+17+4+8</f>
        <v>859</v>
      </c>
      <c r="M116" s="208">
        <f>822+27+13+5+8.1</f>
        <v>875.1</v>
      </c>
      <c r="N116" s="208">
        <f>811+30+12+4+6.9</f>
        <v>863.9</v>
      </c>
      <c r="O116" s="208">
        <f>826+37.1+17+5+7.2</f>
        <v>892.30000000000007</v>
      </c>
      <c r="P116" s="208">
        <f>843+36+22+5+8</f>
        <v>914</v>
      </c>
      <c r="Q116" s="208">
        <f>913+41.2+19+5+8.9</f>
        <v>987.1</v>
      </c>
      <c r="R116" s="208">
        <v>1050</v>
      </c>
      <c r="S116" s="14">
        <v>1079</v>
      </c>
      <c r="T116" s="211">
        <v>1129.8</v>
      </c>
      <c r="U116" s="208">
        <v>1084</v>
      </c>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row>
    <row r="117" spans="1:97" x14ac:dyDescent="0.3">
      <c r="B117" s="690" t="s">
        <v>101</v>
      </c>
      <c r="C117" s="690"/>
      <c r="D117" s="10"/>
      <c r="E117" s="10"/>
      <c r="F117" s="10"/>
      <c r="G117" s="10"/>
      <c r="H117" s="10"/>
      <c r="I117" s="10"/>
      <c r="J117" s="10"/>
      <c r="K117" s="125">
        <v>173730</v>
      </c>
      <c r="L117" s="125">
        <v>180296</v>
      </c>
      <c r="M117" s="14">
        <f>'Bevs(2000-2017)'!M230</f>
        <v>182200</v>
      </c>
      <c r="N117" s="14">
        <f>'Bevs(2000-2017)'!N230</f>
        <v>182228</v>
      </c>
      <c r="O117" s="14">
        <f>'Bevs(2000-2017)'!O230</f>
        <v>183521</v>
      </c>
      <c r="P117" s="14">
        <f>'Bevs(2000-2017)'!P230</f>
        <v>184964</v>
      </c>
      <c r="Q117" s="14">
        <f>'Bevs(2000-2017)'!Q230</f>
        <v>185944</v>
      </c>
      <c r="R117" s="14">
        <f>'Bevs(2000-2017)'!R230</f>
        <v>189289</v>
      </c>
      <c r="S117" s="14">
        <v>195523</v>
      </c>
      <c r="T117" s="14">
        <v>197075</v>
      </c>
      <c r="U117" s="14">
        <v>204855</v>
      </c>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row>
    <row r="118" spans="1:97" s="475" customFormat="1" x14ac:dyDescent="0.3">
      <c r="A118" s="6"/>
      <c r="B118" s="34" t="s">
        <v>193</v>
      </c>
      <c r="C118" s="542"/>
      <c r="D118" s="10"/>
      <c r="E118" s="10"/>
      <c r="F118" s="10"/>
      <c r="G118" s="10"/>
      <c r="H118" s="10"/>
      <c r="I118" s="10"/>
      <c r="J118" s="10"/>
      <c r="K118" s="125"/>
      <c r="L118" s="125"/>
      <c r="M118" s="14"/>
      <c r="N118" s="14"/>
      <c r="O118" s="14"/>
      <c r="P118" s="14"/>
      <c r="Q118" s="14"/>
      <c r="R118" s="14"/>
      <c r="S118" s="14"/>
      <c r="T118" s="14"/>
      <c r="U118" s="61">
        <f>U116/U117</f>
        <v>5.2915476800663884E-3</v>
      </c>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row>
    <row r="119" spans="1:97" x14ac:dyDescent="0.3">
      <c r="B119" s="691" t="s">
        <v>102</v>
      </c>
      <c r="C119" s="691"/>
      <c r="D119" s="19"/>
      <c r="E119" s="19"/>
      <c r="F119" s="19"/>
      <c r="G119" s="19"/>
      <c r="H119" s="19"/>
      <c r="I119" s="19"/>
      <c r="J119" s="19"/>
      <c r="K119" s="206">
        <f>152+7+4+3</f>
        <v>166</v>
      </c>
      <c r="L119" s="206">
        <f>177+9+7+4.3</f>
        <v>197.3</v>
      </c>
      <c r="M119" s="206">
        <f>161+8+2+1</f>
        <v>172</v>
      </c>
      <c r="N119" s="206">
        <f>158+8+2+1</f>
        <v>169</v>
      </c>
      <c r="O119" s="206">
        <f>189+7+1+0.9</f>
        <v>197.9</v>
      </c>
      <c r="P119" s="206">
        <f>232+10+6+2+2</f>
        <v>252</v>
      </c>
      <c r="Q119" s="209">
        <f>197+8.3+4-1-1</f>
        <v>207.3</v>
      </c>
      <c r="R119" s="209">
        <v>236</v>
      </c>
      <c r="S119" s="14">
        <v>297</v>
      </c>
      <c r="T119" s="211">
        <v>296.3</v>
      </c>
      <c r="U119" s="6">
        <v>315</v>
      </c>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row>
    <row r="120" spans="1:97" x14ac:dyDescent="0.3">
      <c r="B120" s="691" t="s">
        <v>103</v>
      </c>
      <c r="C120" s="691"/>
      <c r="D120" s="19"/>
      <c r="E120" s="19"/>
      <c r="F120" s="19"/>
      <c r="G120" s="19"/>
      <c r="H120" s="19"/>
      <c r="I120" s="19"/>
      <c r="J120" s="19"/>
      <c r="K120" s="127">
        <v>51587</v>
      </c>
      <c r="L120" s="127">
        <v>53173</v>
      </c>
      <c r="M120" s="127">
        <f>'Bevs(2000-2017)'!M233</f>
        <v>51634</v>
      </c>
      <c r="N120" s="127">
        <f>'Bevs(2000-2017)'!N233</f>
        <v>51083</v>
      </c>
      <c r="O120" s="127">
        <f>'Bevs(2000-2017)'!O233</f>
        <v>51234</v>
      </c>
      <c r="P120" s="127">
        <f>'Bevs(2000-2017)'!P233</f>
        <v>51087</v>
      </c>
      <c r="Q120" s="127">
        <f>'Bevs(2000-2017)'!Q233</f>
        <v>51007</v>
      </c>
      <c r="R120" s="127">
        <f>'Bevs(2000-2017)'!R233</f>
        <v>51789</v>
      </c>
      <c r="S120" s="14">
        <v>51451</v>
      </c>
      <c r="T120" s="14">
        <v>52021</v>
      </c>
      <c r="U120" s="14">
        <v>54391</v>
      </c>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row>
    <row r="121" spans="1:97" s="475" customFormat="1" x14ac:dyDescent="0.3">
      <c r="A121" s="6"/>
      <c r="B121" s="34" t="s">
        <v>193</v>
      </c>
      <c r="C121" s="541"/>
      <c r="D121" s="19"/>
      <c r="E121" s="19"/>
      <c r="F121" s="19"/>
      <c r="G121" s="19"/>
      <c r="H121" s="19"/>
      <c r="I121" s="19"/>
      <c r="J121" s="19"/>
      <c r="K121" s="127"/>
      <c r="L121" s="127"/>
      <c r="M121" s="127"/>
      <c r="N121" s="127"/>
      <c r="O121" s="127"/>
      <c r="P121" s="127"/>
      <c r="Q121" s="127"/>
      <c r="R121" s="127"/>
      <c r="S121" s="14"/>
      <c r="T121" s="14"/>
      <c r="U121" s="61">
        <f>U119/U120</f>
        <v>5.7913993123862402E-3</v>
      </c>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row>
    <row r="122" spans="1:97" s="6" customFormat="1" x14ac:dyDescent="0.3">
      <c r="B122" s="690" t="s">
        <v>362</v>
      </c>
      <c r="C122" s="690"/>
      <c r="D122" s="10"/>
      <c r="E122" s="10"/>
      <c r="F122" s="10"/>
      <c r="G122" s="10"/>
      <c r="H122" s="10"/>
      <c r="I122" s="10"/>
      <c r="J122" s="10"/>
      <c r="K122" s="125"/>
      <c r="L122" s="125"/>
      <c r="M122" s="125"/>
      <c r="N122" s="125"/>
      <c r="O122" s="125"/>
      <c r="P122" s="125"/>
      <c r="Q122" s="125">
        <f>357+10.6+11</f>
        <v>378.6</v>
      </c>
      <c r="R122" s="125">
        <v>436</v>
      </c>
      <c r="S122" s="14">
        <v>461</v>
      </c>
      <c r="T122" s="211">
        <v>534.9</v>
      </c>
      <c r="U122" s="125">
        <v>559</v>
      </c>
    </row>
    <row r="123" spans="1:97" s="6" customFormat="1" x14ac:dyDescent="0.3">
      <c r="B123" s="690" t="s">
        <v>363</v>
      </c>
      <c r="C123" s="690"/>
      <c r="D123" s="10"/>
      <c r="E123" s="10"/>
      <c r="F123" s="10"/>
      <c r="G123" s="10"/>
      <c r="H123" s="10"/>
      <c r="I123" s="10"/>
      <c r="J123" s="10"/>
      <c r="K123" s="125"/>
      <c r="L123" s="125"/>
      <c r="M123" s="125"/>
      <c r="N123" s="125"/>
      <c r="O123" s="125"/>
      <c r="P123" s="125"/>
      <c r="Q123" s="14">
        <f>'Bevs(2000-2017)'!Q236</f>
        <v>64428</v>
      </c>
      <c r="R123" s="14">
        <f>'Bevs(2000-2017)'!R236</f>
        <v>64639</v>
      </c>
      <c r="S123" s="14">
        <v>64634</v>
      </c>
      <c r="T123" s="14">
        <v>64847</v>
      </c>
      <c r="U123" s="14">
        <v>70474</v>
      </c>
    </row>
    <row r="124" spans="1:97" s="6" customFormat="1" x14ac:dyDescent="0.3">
      <c r="B124" s="34" t="s">
        <v>193</v>
      </c>
      <c r="C124" s="542"/>
      <c r="D124" s="10"/>
      <c r="E124" s="10"/>
      <c r="F124" s="10"/>
      <c r="G124" s="10"/>
      <c r="H124" s="10"/>
      <c r="I124" s="10"/>
      <c r="J124" s="10"/>
      <c r="K124" s="125"/>
      <c r="L124" s="125"/>
      <c r="M124" s="125"/>
      <c r="N124" s="125"/>
      <c r="O124" s="125"/>
      <c r="P124" s="125"/>
      <c r="Q124" s="14"/>
      <c r="R124" s="14"/>
      <c r="S124" s="14"/>
      <c r="T124" s="14"/>
      <c r="U124" s="61">
        <f>U122/U123</f>
        <v>7.93200329199421E-3</v>
      </c>
    </row>
    <row r="125" spans="1:97" x14ac:dyDescent="0.3">
      <c r="B125" s="690" t="s">
        <v>104</v>
      </c>
      <c r="C125" s="690"/>
      <c r="D125" s="10"/>
      <c r="E125" s="10"/>
      <c r="F125" s="10"/>
      <c r="G125" s="10"/>
      <c r="H125" s="10"/>
      <c r="I125" s="10"/>
      <c r="J125" s="10"/>
      <c r="K125" s="207">
        <f>347+32+4+2+2</f>
        <v>387</v>
      </c>
      <c r="L125" s="207">
        <f>400+25+8+4</f>
        <v>437</v>
      </c>
      <c r="M125" s="210">
        <f>442+20+12+7+3.2</f>
        <v>484.2</v>
      </c>
      <c r="N125" s="10">
        <f>424+27+5+1</f>
        <v>457</v>
      </c>
      <c r="O125" s="10">
        <f>489+36+10+4+2</f>
        <v>541</v>
      </c>
      <c r="P125" s="10">
        <f>495+62+10+4+2</f>
        <v>573</v>
      </c>
      <c r="Q125" s="10"/>
      <c r="R125" s="10"/>
      <c r="S125" s="14"/>
      <c r="T125" s="14"/>
      <c r="U125" s="14" t="s">
        <v>514</v>
      </c>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row>
    <row r="126" spans="1:97" x14ac:dyDescent="0.3">
      <c r="B126" s="690" t="s">
        <v>105</v>
      </c>
      <c r="C126" s="690"/>
      <c r="D126" s="10"/>
      <c r="E126" s="10"/>
      <c r="F126" s="10"/>
      <c r="G126" s="10"/>
      <c r="H126" s="10"/>
      <c r="I126" s="10"/>
      <c r="J126" s="10"/>
      <c r="K126" s="125">
        <v>104918</v>
      </c>
      <c r="L126" s="125">
        <f>43789+63363</f>
        <v>107152</v>
      </c>
      <c r="M126" s="14" t="e">
        <f>'Bevs(2000-2017)'!#REF!</f>
        <v>#REF!</v>
      </c>
      <c r="N126" s="14">
        <f>'Bevs(2000-2017)'!N236+'Bevs(2000-2017)'!N287</f>
        <v>107503</v>
      </c>
      <c r="O126" s="14">
        <f>'Bevs(2000-2017)'!O236+'Bevs(2000-2017)'!O287</f>
        <v>108345</v>
      </c>
      <c r="P126" s="14">
        <f>'Bevs(2000-2017)'!P236+'Bevs(2000-2017)'!P287</f>
        <v>108519</v>
      </c>
      <c r="S126" s="14"/>
      <c r="T126" s="14"/>
      <c r="U126" s="14" t="s">
        <v>514</v>
      </c>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row>
    <row r="127" spans="1:97" s="475" customFormat="1" x14ac:dyDescent="0.3">
      <c r="A127" s="6"/>
      <c r="B127" s="34" t="s">
        <v>193</v>
      </c>
      <c r="C127" s="542"/>
      <c r="D127" s="10"/>
      <c r="E127" s="10"/>
      <c r="F127" s="10"/>
      <c r="G127" s="10"/>
      <c r="H127" s="10"/>
      <c r="I127" s="10"/>
      <c r="J127" s="10"/>
      <c r="K127" s="125"/>
      <c r="L127" s="125"/>
      <c r="M127" s="14"/>
      <c r="N127" s="14"/>
      <c r="O127" s="14"/>
      <c r="P127" s="14"/>
      <c r="Q127" s="6"/>
      <c r="R127" s="6"/>
      <c r="S127" s="14"/>
      <c r="T127" s="14"/>
      <c r="U127" s="14"/>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row>
    <row r="128" spans="1:97" x14ac:dyDescent="0.3">
      <c r="B128" s="691" t="s">
        <v>106</v>
      </c>
      <c r="C128" s="691"/>
      <c r="D128" s="19"/>
      <c r="E128" s="19"/>
      <c r="F128" s="19"/>
      <c r="G128" s="19"/>
      <c r="H128" s="19"/>
      <c r="I128" s="19"/>
      <c r="J128" s="19"/>
      <c r="K128" s="206">
        <f>348+13+10+2+1</f>
        <v>374</v>
      </c>
      <c r="L128" s="206">
        <f>448+15+17+3+3.2</f>
        <v>486.2</v>
      </c>
      <c r="M128" s="206">
        <f>582+26+25+4+0.9</f>
        <v>637.9</v>
      </c>
      <c r="N128" s="206">
        <f>666+36+29+7+3.5</f>
        <v>741.5</v>
      </c>
      <c r="O128" s="206">
        <f>588+31.2+33+6+6.4</f>
        <v>664.6</v>
      </c>
      <c r="P128" s="206">
        <f>584+41+32+10+6</f>
        <v>673</v>
      </c>
      <c r="Q128" s="206">
        <f>662+41+42+10.6+9</f>
        <v>764.6</v>
      </c>
      <c r="R128" s="206">
        <v>768</v>
      </c>
      <c r="S128" s="14">
        <v>875</v>
      </c>
      <c r="T128" s="211">
        <v>897.8</v>
      </c>
      <c r="U128" s="14">
        <v>881</v>
      </c>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row>
    <row r="129" spans="1:88" x14ac:dyDescent="0.3">
      <c r="B129" s="691" t="s">
        <v>107</v>
      </c>
      <c r="C129" s="691"/>
      <c r="D129" s="19"/>
      <c r="E129" s="19"/>
      <c r="F129" s="19"/>
      <c r="G129" s="19"/>
      <c r="H129" s="19"/>
      <c r="I129" s="19"/>
      <c r="J129" s="19"/>
      <c r="K129" s="127">
        <v>79558</v>
      </c>
      <c r="L129" s="127">
        <v>80957</v>
      </c>
      <c r="M129" s="127">
        <f>'Bevs(2000-2017)'!M239</f>
        <v>80392</v>
      </c>
      <c r="N129" s="127">
        <f>'Bevs(2000-2017)'!N239</f>
        <v>81083</v>
      </c>
      <c r="O129" s="127">
        <f>'Bevs(2000-2017)'!O239</f>
        <v>81485</v>
      </c>
      <c r="P129" s="127">
        <f>'Bevs(2000-2017)'!P239</f>
        <v>81447</v>
      </c>
      <c r="Q129" s="127">
        <f>'Bevs(2000-2017)'!Q239</f>
        <v>81659</v>
      </c>
      <c r="R129" s="127">
        <f>'Bevs(2000-2017)'!R239</f>
        <v>82407</v>
      </c>
      <c r="S129" s="14">
        <v>82787</v>
      </c>
      <c r="T129" s="14">
        <v>84014</v>
      </c>
      <c r="U129" s="14">
        <v>88866</v>
      </c>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row>
    <row r="130" spans="1:88" s="475" customFormat="1" x14ac:dyDescent="0.3">
      <c r="A130" s="6"/>
      <c r="B130" s="34" t="s">
        <v>193</v>
      </c>
      <c r="C130" s="541"/>
      <c r="D130" s="19"/>
      <c r="E130" s="19"/>
      <c r="F130" s="19"/>
      <c r="G130" s="19"/>
      <c r="H130" s="19"/>
      <c r="I130" s="19"/>
      <c r="J130" s="19"/>
      <c r="K130" s="127"/>
      <c r="L130" s="127"/>
      <c r="M130" s="127"/>
      <c r="N130" s="127"/>
      <c r="O130" s="127"/>
      <c r="P130" s="127"/>
      <c r="Q130" s="127"/>
      <c r="R130" s="127"/>
      <c r="S130" s="14"/>
      <c r="T130" s="14"/>
      <c r="U130" s="61">
        <f>U128/U129</f>
        <v>9.9138028042220876E-3</v>
      </c>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row>
    <row r="131" spans="1:88" x14ac:dyDescent="0.3">
      <c r="B131" s="690" t="s">
        <v>108</v>
      </c>
      <c r="C131" s="690"/>
      <c r="D131" s="10"/>
      <c r="E131" s="10"/>
      <c r="F131" s="10"/>
      <c r="G131" s="10"/>
      <c r="H131" s="10"/>
      <c r="I131" s="10"/>
      <c r="J131" s="10"/>
      <c r="K131" s="207">
        <f>274+8+2+1+1</f>
        <v>286</v>
      </c>
      <c r="L131" s="207">
        <f>308+11+1+1</f>
        <v>321</v>
      </c>
      <c r="M131" s="208">
        <f>399+10+3+2+0.6</f>
        <v>414.6</v>
      </c>
      <c r="N131" s="208">
        <f>384+13+6+3+0.3</f>
        <v>406.3</v>
      </c>
      <c r="O131" s="208">
        <f>332+12+5+2+0.6</f>
        <v>351.6</v>
      </c>
      <c r="P131" s="10">
        <f>318+11+2+2</f>
        <v>333</v>
      </c>
      <c r="Q131" s="10">
        <f>324+13+6+2+2.2</f>
        <v>347.2</v>
      </c>
      <c r="R131" s="10">
        <v>408</v>
      </c>
      <c r="S131" s="14">
        <v>393</v>
      </c>
      <c r="T131" s="211">
        <v>398.3</v>
      </c>
      <c r="U131" s="10">
        <v>399</v>
      </c>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row>
    <row r="132" spans="1:88" x14ac:dyDescent="0.3">
      <c r="B132" s="690" t="s">
        <v>109</v>
      </c>
      <c r="C132" s="690"/>
      <c r="D132" s="10"/>
      <c r="E132" s="10"/>
      <c r="F132" s="10"/>
      <c r="G132" s="10"/>
      <c r="H132" s="10"/>
      <c r="I132" s="10"/>
      <c r="J132" s="10"/>
      <c r="K132" s="125">
        <v>57031</v>
      </c>
      <c r="L132" s="125">
        <v>58777</v>
      </c>
      <c r="M132" s="14">
        <f>'Bevs(2000-2017)'!M242</f>
        <v>58018</v>
      </c>
      <c r="N132" s="14">
        <f>'Bevs(2000-2017)'!N242</f>
        <v>57616</v>
      </c>
      <c r="O132" s="14">
        <f>'Bevs(2000-2017)'!O242</f>
        <v>57679</v>
      </c>
      <c r="P132" s="14">
        <f>'Bevs(2000-2017)'!P242</f>
        <v>57779</v>
      </c>
      <c r="Q132" s="14">
        <f>'Bevs(2000-2017)'!Q242</f>
        <v>57642</v>
      </c>
      <c r="R132" s="14">
        <f>'Bevs(2000-2017)'!R242</f>
        <v>58059</v>
      </c>
      <c r="S132" s="14">
        <v>57642</v>
      </c>
      <c r="T132" s="14">
        <v>58960</v>
      </c>
      <c r="U132" s="14">
        <v>63173</v>
      </c>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row>
    <row r="133" spans="1:88" s="475" customFormat="1" x14ac:dyDescent="0.3">
      <c r="A133" s="6"/>
      <c r="B133" s="34" t="s">
        <v>193</v>
      </c>
      <c r="C133" s="542"/>
      <c r="D133" s="10"/>
      <c r="E133" s="10"/>
      <c r="F133" s="10"/>
      <c r="G133" s="10"/>
      <c r="H133" s="10"/>
      <c r="I133" s="10"/>
      <c r="J133" s="10"/>
      <c r="K133" s="125"/>
      <c r="L133" s="125"/>
      <c r="M133" s="14"/>
      <c r="N133" s="14"/>
      <c r="O133" s="14"/>
      <c r="P133" s="14"/>
      <c r="Q133" s="14"/>
      <c r="R133" s="14"/>
      <c r="S133" s="14"/>
      <c r="T133" s="14"/>
      <c r="U133" s="61">
        <f>U131/U132</f>
        <v>6.3159894258623143E-3</v>
      </c>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row>
    <row r="134" spans="1:88" x14ac:dyDescent="0.3">
      <c r="B134" s="691" t="s">
        <v>110</v>
      </c>
      <c r="C134" s="691"/>
      <c r="D134" s="19"/>
      <c r="E134" s="19"/>
      <c r="F134" s="19"/>
      <c r="G134" s="19"/>
      <c r="H134" s="19"/>
      <c r="I134" s="19"/>
      <c r="J134" s="19"/>
      <c r="K134" s="206">
        <f>202+10+7+1</f>
        <v>220</v>
      </c>
      <c r="L134" s="206">
        <f>258+13+9+2</f>
        <v>282</v>
      </c>
      <c r="M134" s="206">
        <f>185+15+5+2</f>
        <v>207</v>
      </c>
      <c r="N134" s="206">
        <f>194+11+7+2</f>
        <v>214</v>
      </c>
      <c r="O134" s="206">
        <f>223+20+8+1</f>
        <v>252</v>
      </c>
      <c r="P134" s="206">
        <f>205+11+9+5</f>
        <v>230</v>
      </c>
      <c r="Q134" s="209">
        <f>252+18+8+3+1</f>
        <v>282</v>
      </c>
      <c r="R134" s="209">
        <v>263</v>
      </c>
      <c r="S134" s="14">
        <v>338</v>
      </c>
      <c r="T134" s="6">
        <v>378</v>
      </c>
      <c r="U134" s="6">
        <v>363</v>
      </c>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row>
    <row r="135" spans="1:88" x14ac:dyDescent="0.3">
      <c r="B135" s="691" t="s">
        <v>111</v>
      </c>
      <c r="C135" s="691"/>
      <c r="D135" s="19"/>
      <c r="E135" s="19"/>
      <c r="F135" s="19"/>
      <c r="G135" s="19"/>
      <c r="H135" s="19"/>
      <c r="I135" s="19"/>
      <c r="J135" s="19"/>
      <c r="K135" s="127">
        <v>94911</v>
      </c>
      <c r="L135" s="127">
        <v>95385</v>
      </c>
      <c r="M135" s="127">
        <f>'Bevs(2000-2017)'!M248</f>
        <v>93577</v>
      </c>
      <c r="N135" s="127">
        <f>'Bevs(2000-2017)'!N248</f>
        <v>93704</v>
      </c>
      <c r="O135" s="127">
        <f>'Bevs(2000-2017)'!O248</f>
        <v>93887</v>
      </c>
      <c r="P135" s="127">
        <f>'Bevs(2000-2017)'!P248</f>
        <v>93881</v>
      </c>
      <c r="Q135" s="127">
        <f>'Bevs(2000-2017)'!Q248</f>
        <v>94193</v>
      </c>
      <c r="R135" s="127">
        <f>'Bevs(2000-2017)'!R248</f>
        <v>93645</v>
      </c>
      <c r="S135" s="14">
        <v>91277</v>
      </c>
      <c r="T135" s="14">
        <v>90915</v>
      </c>
      <c r="U135" s="14">
        <v>99479</v>
      </c>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row>
    <row r="136" spans="1:88" s="475" customFormat="1" x14ac:dyDescent="0.3">
      <c r="A136" s="6"/>
      <c r="B136" s="34" t="s">
        <v>193</v>
      </c>
      <c r="C136" s="541"/>
      <c r="D136" s="19"/>
      <c r="E136" s="19"/>
      <c r="F136" s="19"/>
      <c r="G136" s="19"/>
      <c r="H136" s="19"/>
      <c r="I136" s="19"/>
      <c r="J136" s="19"/>
      <c r="K136" s="127"/>
      <c r="L136" s="127"/>
      <c r="M136" s="127"/>
      <c r="N136" s="127"/>
      <c r="O136" s="127"/>
      <c r="P136" s="127"/>
      <c r="Q136" s="127"/>
      <c r="R136" s="127"/>
      <c r="S136" s="14"/>
      <c r="T136" s="14"/>
      <c r="U136" s="61">
        <f>U134/U135</f>
        <v>3.649011349128962E-3</v>
      </c>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row>
    <row r="137" spans="1:88" x14ac:dyDescent="0.3">
      <c r="B137" s="690" t="s">
        <v>112</v>
      </c>
      <c r="C137" s="690"/>
      <c r="D137" s="10"/>
      <c r="E137" s="10"/>
      <c r="F137" s="10"/>
      <c r="G137" s="10"/>
      <c r="H137" s="10"/>
      <c r="I137" s="10"/>
      <c r="J137" s="10"/>
      <c r="K137" s="207">
        <f>926+46+33+11+3</f>
        <v>1019</v>
      </c>
      <c r="L137" s="207">
        <f>1069+36+35+9+2.9</f>
        <v>1151.9000000000001</v>
      </c>
      <c r="M137" s="208">
        <f>1109+33+33+11+3.3</f>
        <v>1189.3</v>
      </c>
      <c r="N137" s="208">
        <f>1243+46+35+14.3+4.3</f>
        <v>1342.6</v>
      </c>
      <c r="O137" s="208">
        <f>1228+53.6+34+15+5.1</f>
        <v>1335.6999999999998</v>
      </c>
      <c r="P137" s="208">
        <f>1365+58+38+11+2</f>
        <v>1474</v>
      </c>
      <c r="Q137" s="208">
        <f>1394+61.2+32+11+2.8</f>
        <v>1501</v>
      </c>
      <c r="R137" s="208">
        <v>1751</v>
      </c>
      <c r="S137" s="14">
        <v>1896</v>
      </c>
      <c r="T137" s="6">
        <v>2060</v>
      </c>
      <c r="U137" s="208">
        <v>2040</v>
      </c>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row>
    <row r="138" spans="1:88" x14ac:dyDescent="0.3">
      <c r="B138" s="690" t="s">
        <v>113</v>
      </c>
      <c r="C138" s="690"/>
      <c r="D138" s="10"/>
      <c r="E138" s="10"/>
      <c r="F138" s="10"/>
      <c r="G138" s="10"/>
      <c r="H138" s="10"/>
      <c r="I138" s="10"/>
      <c r="J138" s="10"/>
      <c r="K138" s="125">
        <v>271262</v>
      </c>
      <c r="L138" s="125">
        <v>276267</v>
      </c>
      <c r="M138" s="14">
        <f>'Bevs(2000-2017)'!M245</f>
        <v>278973</v>
      </c>
      <c r="N138" s="14">
        <f>'Bevs(2000-2017)'!N245</f>
        <v>283004</v>
      </c>
      <c r="O138" s="14">
        <f>'Bevs(2000-2017)'!O245</f>
        <v>283905</v>
      </c>
      <c r="P138" s="14">
        <f>'Bevs(2000-2017)'!P245</f>
        <v>284791</v>
      </c>
      <c r="Q138" s="14">
        <f>'Bevs(2000-2017)'!Q245</f>
        <v>286980</v>
      </c>
      <c r="R138" s="14">
        <f>'Bevs(2000-2017)'!R245</f>
        <v>288682</v>
      </c>
      <c r="S138" s="14">
        <v>296414</v>
      </c>
      <c r="T138" s="14">
        <v>301238</v>
      </c>
      <c r="U138" s="14">
        <v>314514</v>
      </c>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row>
    <row r="139" spans="1:88" s="475" customFormat="1" x14ac:dyDescent="0.3">
      <c r="A139" s="6"/>
      <c r="B139" s="34" t="s">
        <v>193</v>
      </c>
      <c r="C139" s="542"/>
      <c r="D139" s="10"/>
      <c r="E139" s="10"/>
      <c r="F139" s="10"/>
      <c r="G139" s="10"/>
      <c r="H139" s="10"/>
      <c r="I139" s="10"/>
      <c r="J139" s="10"/>
      <c r="K139" s="125"/>
      <c r="L139" s="125"/>
      <c r="M139" s="14"/>
      <c r="N139" s="14"/>
      <c r="O139" s="14"/>
      <c r="P139" s="14"/>
      <c r="Q139" s="14"/>
      <c r="R139" s="14"/>
      <c r="S139" s="14"/>
      <c r="T139" s="14"/>
      <c r="U139" s="61">
        <f>U137/U138</f>
        <v>6.4861977527232492E-3</v>
      </c>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row>
    <row r="140" spans="1:88" x14ac:dyDescent="0.3">
      <c r="B140" s="690" t="s">
        <v>116</v>
      </c>
      <c r="C140" s="690"/>
      <c r="D140" s="10"/>
      <c r="E140" s="10"/>
      <c r="F140" s="10"/>
      <c r="G140" s="10"/>
      <c r="H140" s="10"/>
      <c r="I140" s="10"/>
      <c r="J140" s="10"/>
      <c r="K140" s="207">
        <f>42+3</f>
        <v>45</v>
      </c>
      <c r="L140" s="207">
        <f>36+1</f>
        <v>37</v>
      </c>
      <c r="M140" s="208">
        <f>36+2</f>
        <v>38</v>
      </c>
      <c r="N140" s="208">
        <f>54+1</f>
        <v>55</v>
      </c>
      <c r="O140" s="208">
        <f>42+8</f>
        <v>50</v>
      </c>
      <c r="P140" s="208">
        <f>64+7</f>
        <v>71</v>
      </c>
      <c r="Q140" s="208">
        <f>72+398.1+320+83+89.1</f>
        <v>962.2</v>
      </c>
      <c r="R140" s="208">
        <v>101</v>
      </c>
      <c r="S140" s="14">
        <v>141</v>
      </c>
      <c r="T140" s="6">
        <v>118</v>
      </c>
      <c r="U140" s="208">
        <v>135</v>
      </c>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row>
    <row r="141" spans="1:88" x14ac:dyDescent="0.3">
      <c r="B141" s="690" t="s">
        <v>117</v>
      </c>
      <c r="C141" s="690"/>
      <c r="D141" s="10"/>
      <c r="E141" s="10"/>
      <c r="F141" s="10"/>
      <c r="G141" s="10"/>
      <c r="H141" s="10"/>
      <c r="I141" s="10"/>
      <c r="J141" s="10"/>
      <c r="K141" s="125">
        <v>38320</v>
      </c>
      <c r="L141" s="125">
        <v>39081</v>
      </c>
      <c r="M141" s="14">
        <f>'Bevs(2000-2017)'!M251</f>
        <v>38492</v>
      </c>
      <c r="N141" s="14">
        <f>'Bevs(2000-2017)'!N251</f>
        <v>38207</v>
      </c>
      <c r="O141" s="14">
        <f>'Bevs(2000-2017)'!O251</f>
        <v>38066</v>
      </c>
      <c r="P141" s="14">
        <f>'Bevs(2000-2017)'!P251</f>
        <v>38417</v>
      </c>
      <c r="Q141" s="14">
        <f>'Bevs(2000-2017)'!Q251</f>
        <v>38687</v>
      </c>
      <c r="R141" s="14">
        <f>'Bevs(2000-2017)'!R251</f>
        <v>39169</v>
      </c>
      <c r="S141" s="14">
        <v>38621</v>
      </c>
      <c r="T141" s="14">
        <v>36270</v>
      </c>
      <c r="U141" s="14">
        <v>39129</v>
      </c>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row>
    <row r="142" spans="1:88" s="475" customFormat="1" x14ac:dyDescent="0.3">
      <c r="A142" s="6"/>
      <c r="B142" s="34" t="s">
        <v>193</v>
      </c>
      <c r="C142" s="542"/>
      <c r="D142" s="10"/>
      <c r="E142" s="10"/>
      <c r="F142" s="10"/>
      <c r="G142" s="10"/>
      <c r="H142" s="10"/>
      <c r="I142" s="10"/>
      <c r="J142" s="10"/>
      <c r="K142" s="125"/>
      <c r="L142" s="125"/>
      <c r="M142" s="14"/>
      <c r="N142" s="14"/>
      <c r="O142" s="14"/>
      <c r="P142" s="14"/>
      <c r="Q142" s="14"/>
      <c r="R142" s="14"/>
      <c r="S142" s="14"/>
      <c r="T142" s="14"/>
      <c r="U142" s="61">
        <f>U140/U141</f>
        <v>3.4501265046385033E-3</v>
      </c>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row>
    <row r="143" spans="1:88" x14ac:dyDescent="0.3">
      <c r="B143" s="691" t="s">
        <v>118</v>
      </c>
      <c r="C143" s="691"/>
      <c r="D143" s="19"/>
      <c r="E143" s="19"/>
      <c r="F143" s="19"/>
      <c r="G143" s="19"/>
      <c r="H143" s="19"/>
      <c r="I143" s="19"/>
      <c r="J143" s="19"/>
      <c r="K143" s="126">
        <f>141+5+1+0.9</f>
        <v>147.9</v>
      </c>
      <c r="L143" s="126">
        <f>155+5.3+4+3+1</f>
        <v>168.3</v>
      </c>
      <c r="M143" s="126">
        <f>148+6+3+2+1.3</f>
        <v>160.30000000000001</v>
      </c>
      <c r="N143" s="126">
        <f>147+5+4+1</f>
        <v>157</v>
      </c>
      <c r="O143" s="126">
        <f>160+8+7+1+2.3</f>
        <v>178.3</v>
      </c>
      <c r="P143" s="126">
        <f>173+14+5+5+1</f>
        <v>198</v>
      </c>
      <c r="Q143" s="126">
        <f>166+8.3</f>
        <v>174.3</v>
      </c>
      <c r="R143" s="126">
        <v>214</v>
      </c>
      <c r="S143" s="14">
        <v>222</v>
      </c>
      <c r="T143" s="211">
        <v>273.39999999999998</v>
      </c>
      <c r="U143" s="206">
        <v>252</v>
      </c>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row>
    <row r="144" spans="1:88" x14ac:dyDescent="0.3">
      <c r="B144" s="691" t="s">
        <v>119</v>
      </c>
      <c r="C144" s="691"/>
      <c r="D144" s="19"/>
      <c r="E144" s="19"/>
      <c r="F144" s="19"/>
      <c r="G144" s="19"/>
      <c r="H144" s="19"/>
      <c r="I144" s="19"/>
      <c r="J144" s="19"/>
      <c r="K144" s="127">
        <v>31389</v>
      </c>
      <c r="L144" s="127">
        <v>32011</v>
      </c>
      <c r="M144" s="127">
        <f>'Bevs(2000-2017)'!M254</f>
        <v>31704</v>
      </c>
      <c r="N144" s="127">
        <f>'Bevs(2000-2017)'!N254</f>
        <v>31316</v>
      </c>
      <c r="O144" s="127">
        <f>'Bevs(2000-2017)'!O254</f>
        <v>31494</v>
      </c>
      <c r="P144" s="127">
        <f>'Bevs(2000-2017)'!P254</f>
        <v>31205</v>
      </c>
      <c r="Q144" s="127">
        <f>'Bevs(2000-2017)'!Q254</f>
        <v>30563</v>
      </c>
      <c r="R144" s="127">
        <f>'Bevs(2000-2017)'!R254</f>
        <v>30307</v>
      </c>
      <c r="S144" s="14">
        <v>29349</v>
      </c>
      <c r="T144" s="14">
        <v>29926</v>
      </c>
      <c r="U144" s="14">
        <v>32990</v>
      </c>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row>
    <row r="145" spans="1:88" s="475" customFormat="1" x14ac:dyDescent="0.3">
      <c r="A145" s="6"/>
      <c r="B145" s="34" t="s">
        <v>193</v>
      </c>
      <c r="C145" s="541"/>
      <c r="D145" s="19"/>
      <c r="E145" s="19"/>
      <c r="F145" s="19"/>
      <c r="G145" s="19"/>
      <c r="H145" s="19"/>
      <c r="I145" s="19"/>
      <c r="J145" s="19"/>
      <c r="K145" s="127"/>
      <c r="L145" s="127"/>
      <c r="M145" s="127"/>
      <c r="N145" s="127"/>
      <c r="O145" s="127"/>
      <c r="P145" s="127"/>
      <c r="Q145" s="127"/>
      <c r="R145" s="127"/>
      <c r="S145" s="14"/>
      <c r="T145" s="14"/>
      <c r="U145" s="61">
        <f>U143/U144</f>
        <v>7.6386783873901186E-3</v>
      </c>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row>
    <row r="146" spans="1:88" x14ac:dyDescent="0.3">
      <c r="B146" s="691" t="s">
        <v>114</v>
      </c>
      <c r="C146" s="691"/>
      <c r="D146" s="19"/>
      <c r="E146" s="19"/>
      <c r="F146" s="19"/>
      <c r="G146" s="19"/>
      <c r="H146" s="19"/>
      <c r="I146" s="19"/>
      <c r="J146" s="19"/>
      <c r="K146" s="206">
        <f>8071+168+176+33+16.4</f>
        <v>8464.4</v>
      </c>
      <c r="L146" s="206">
        <f>9618+246+237+44+19.8</f>
        <v>10164.799999999999</v>
      </c>
      <c r="M146" s="206">
        <f>10331+232+251+51+20.1</f>
        <v>10885.1</v>
      </c>
      <c r="N146" s="206">
        <f>11067+269+297+64+22.4</f>
        <v>11719.4</v>
      </c>
      <c r="O146" s="206">
        <f>11524+297.9+360+65.3+29.7</f>
        <v>12276.9</v>
      </c>
      <c r="P146" s="206">
        <f>11817+330+340+71+71</f>
        <v>12629</v>
      </c>
      <c r="Q146" s="209">
        <f>11840+9.9+8+2</f>
        <v>11859.9</v>
      </c>
      <c r="R146" s="209">
        <v>13624</v>
      </c>
      <c r="S146" s="14">
        <v>14617</v>
      </c>
      <c r="T146" s="211">
        <v>15064.800000000001</v>
      </c>
      <c r="U146" s="212">
        <v>15009</v>
      </c>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row>
    <row r="147" spans="1:88" x14ac:dyDescent="0.3">
      <c r="B147" s="691" t="s">
        <v>115</v>
      </c>
      <c r="C147" s="691"/>
      <c r="D147" s="19"/>
      <c r="E147" s="19"/>
      <c r="F147" s="19"/>
      <c r="G147" s="19"/>
      <c r="H147" s="19"/>
      <c r="I147" s="19"/>
      <c r="J147" s="19"/>
      <c r="K147" s="127">
        <v>2237220</v>
      </c>
      <c r="L147" s="127">
        <v>2273241</v>
      </c>
      <c r="M147" s="127">
        <f>'Bevs(2000-2017)'!M257</f>
        <v>2303653</v>
      </c>
      <c r="N147" s="127">
        <f>'Bevs(2000-2017)'!N257</f>
        <v>2351205</v>
      </c>
      <c r="O147" s="127">
        <f>'Bevs(2000-2017)'!O257</f>
        <v>2373037</v>
      </c>
      <c r="P147" s="127">
        <f>'Bevs(2000-2017)'!P257</f>
        <v>2410000</v>
      </c>
      <c r="Q147" s="127">
        <f>'Bevs(2000-2017)'!Q257</f>
        <v>2442604</v>
      </c>
      <c r="R147" s="127">
        <f>'Bevs(2000-2017)'!R257</f>
        <v>2474123</v>
      </c>
      <c r="S147" s="14">
        <v>2513869</v>
      </c>
      <c r="T147" s="14">
        <v>2558029</v>
      </c>
      <c r="U147" s="14">
        <v>2614764</v>
      </c>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row>
    <row r="148" spans="1:88" s="475" customFormat="1" x14ac:dyDescent="0.3">
      <c r="A148" s="6"/>
      <c r="B148" s="34" t="s">
        <v>193</v>
      </c>
      <c r="C148" s="541"/>
      <c r="D148" s="19"/>
      <c r="E148" s="19"/>
      <c r="F148" s="19"/>
      <c r="G148" s="19"/>
      <c r="H148" s="19"/>
      <c r="I148" s="19"/>
      <c r="J148" s="19"/>
      <c r="K148" s="127"/>
      <c r="L148" s="127"/>
      <c r="M148" s="127"/>
      <c r="N148" s="127"/>
      <c r="O148" s="127"/>
      <c r="P148" s="127"/>
      <c r="Q148" s="127"/>
      <c r="R148" s="127"/>
      <c r="S148" s="14"/>
      <c r="T148" s="14"/>
      <c r="U148" s="61">
        <f>U146/U147</f>
        <v>5.7400973854619388E-3</v>
      </c>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row>
    <row r="149" spans="1:88" x14ac:dyDescent="0.3">
      <c r="B149" s="690" t="s">
        <v>120</v>
      </c>
      <c r="C149" s="690"/>
      <c r="D149" s="10"/>
      <c r="E149" s="10"/>
      <c r="F149" s="10"/>
      <c r="G149" s="10"/>
      <c r="H149" s="10"/>
      <c r="I149" s="10"/>
      <c r="J149" s="10"/>
      <c r="K149" s="207">
        <f>35+3+2+1</f>
        <v>41</v>
      </c>
      <c r="L149" s="207">
        <f>40+1</f>
        <v>41</v>
      </c>
      <c r="M149" s="208">
        <f>57+2+3+2</f>
        <v>64</v>
      </c>
      <c r="N149" s="208">
        <f>39+1+0.3</f>
        <v>40.299999999999997</v>
      </c>
      <c r="O149" s="208">
        <f>62+8</f>
        <v>70</v>
      </c>
      <c r="P149" s="10">
        <f>45+8</f>
        <v>53</v>
      </c>
      <c r="Q149" s="10">
        <f>57+10</f>
        <v>67</v>
      </c>
      <c r="R149" s="10">
        <v>68</v>
      </c>
      <c r="S149" s="14">
        <v>106</v>
      </c>
      <c r="T149" s="211">
        <v>126.6</v>
      </c>
      <c r="U149" s="10">
        <v>94</v>
      </c>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row>
    <row r="150" spans="1:88" x14ac:dyDescent="0.3">
      <c r="B150" s="690" t="s">
        <v>121</v>
      </c>
      <c r="C150" s="690"/>
      <c r="D150" s="10"/>
      <c r="E150" s="10"/>
      <c r="F150" s="10"/>
      <c r="G150" s="10"/>
      <c r="H150" s="10"/>
      <c r="I150" s="10"/>
      <c r="J150" s="10"/>
      <c r="K150" s="125">
        <v>11914</v>
      </c>
      <c r="L150" s="125">
        <v>11954</v>
      </c>
      <c r="M150" s="14">
        <f>'Bevs(2000-2017)'!M260</f>
        <v>11834</v>
      </c>
      <c r="N150" s="14">
        <f>'Bevs(2000-2017)'!N260</f>
        <v>11766</v>
      </c>
      <c r="O150" s="14">
        <f>'Bevs(2000-2017)'!O260</f>
        <v>11716</v>
      </c>
      <c r="P150" s="14">
        <f>'Bevs(2000-2017)'!P260</f>
        <v>11600</v>
      </c>
      <c r="Q150" s="14">
        <f>'Bevs(2000-2017)'!Q260</f>
        <v>11590</v>
      </c>
      <c r="R150" s="14">
        <f>'Bevs(2000-2017)'!R260</f>
        <v>11523</v>
      </c>
      <c r="S150" s="14">
        <v>11387</v>
      </c>
      <c r="T150" s="14">
        <v>11139</v>
      </c>
      <c r="U150" s="14">
        <v>11513</v>
      </c>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row>
    <row r="151" spans="1:88" s="475" customFormat="1" x14ac:dyDescent="0.3">
      <c r="A151" s="6"/>
      <c r="B151" s="34" t="s">
        <v>193</v>
      </c>
      <c r="C151" s="542"/>
      <c r="D151" s="10"/>
      <c r="E151" s="10"/>
      <c r="F151" s="10"/>
      <c r="G151" s="10"/>
      <c r="H151" s="10"/>
      <c r="I151" s="10"/>
      <c r="J151" s="10"/>
      <c r="K151" s="125"/>
      <c r="L151" s="125"/>
      <c r="M151" s="14"/>
      <c r="N151" s="14"/>
      <c r="O151" s="14"/>
      <c r="P151" s="14"/>
      <c r="Q151" s="14"/>
      <c r="R151" s="14"/>
      <c r="S151" s="14"/>
      <c r="T151" s="14"/>
      <c r="U151" s="61">
        <f>U149/U150</f>
        <v>8.1646834013723614E-3</v>
      </c>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row>
    <row r="152" spans="1:88" x14ac:dyDescent="0.3">
      <c r="B152" s="691" t="s">
        <v>122</v>
      </c>
      <c r="C152" s="691"/>
      <c r="D152" s="19"/>
      <c r="E152" s="19"/>
      <c r="F152" s="19"/>
      <c r="G152" s="19"/>
      <c r="H152" s="19"/>
      <c r="I152" s="19"/>
      <c r="J152" s="19"/>
      <c r="K152" s="206">
        <f>961+25+16+3.6+1.5</f>
        <v>1007.1</v>
      </c>
      <c r="L152" s="206">
        <f>1101+27+20+5+2.1</f>
        <v>1155.0999999999999</v>
      </c>
      <c r="M152" s="206">
        <f>1012+24+20+4+2.4</f>
        <v>1062.4000000000001</v>
      </c>
      <c r="N152" s="206">
        <f>1081+42+46+13+5.5</f>
        <v>1187.5</v>
      </c>
      <c r="O152" s="206">
        <f>1128+49+31+13+4.5</f>
        <v>1225.5</v>
      </c>
      <c r="P152" s="206">
        <f>1118+49+34+13+8</f>
        <v>1222</v>
      </c>
      <c r="Q152" s="206">
        <f>1072+42.9+35+10.3+5.7</f>
        <v>1165.9000000000001</v>
      </c>
      <c r="R152" s="206">
        <v>1239</v>
      </c>
      <c r="S152" s="14">
        <v>1460</v>
      </c>
      <c r="T152" s="211">
        <v>1509.3999999999999</v>
      </c>
      <c r="U152" s="206">
        <v>1575</v>
      </c>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row>
    <row r="153" spans="1:88" x14ac:dyDescent="0.3">
      <c r="B153" s="691" t="s">
        <v>123</v>
      </c>
      <c r="C153" s="691"/>
      <c r="D153" s="19"/>
      <c r="E153" s="19"/>
      <c r="F153" s="19"/>
      <c r="G153" s="19"/>
      <c r="H153" s="19"/>
      <c r="I153" s="19"/>
      <c r="J153" s="19"/>
      <c r="K153" s="127">
        <v>142996</v>
      </c>
      <c r="L153" s="127">
        <v>145870</v>
      </c>
      <c r="M153" s="127">
        <f>'Bevs(2000-2017)'!M263</f>
        <v>146264</v>
      </c>
      <c r="N153" s="127">
        <f>'Bevs(2000-2017)'!N263</f>
        <v>147456</v>
      </c>
      <c r="O153" s="127">
        <f>'Bevs(2000-2017)'!O263</f>
        <v>148770</v>
      </c>
      <c r="P153" s="127">
        <f>'Bevs(2000-2017)'!P263</f>
        <v>149621</v>
      </c>
      <c r="Q153" s="127">
        <f>'Bevs(2000-2017)'!Q263</f>
        <v>150806</v>
      </c>
      <c r="R153" s="127">
        <f>'Bevs(2000-2017)'!R263</f>
        <v>152518</v>
      </c>
      <c r="S153" s="14">
        <v>154572</v>
      </c>
      <c r="T153" s="14">
        <v>157599</v>
      </c>
      <c r="U153" s="14">
        <v>164697</v>
      </c>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row>
    <row r="154" spans="1:88" s="475" customFormat="1" x14ac:dyDescent="0.3">
      <c r="A154" s="6"/>
      <c r="B154" s="34" t="s">
        <v>193</v>
      </c>
      <c r="C154" s="541"/>
      <c r="D154" s="19"/>
      <c r="E154" s="19"/>
      <c r="F154" s="19"/>
      <c r="G154" s="19"/>
      <c r="H154" s="19"/>
      <c r="I154" s="19"/>
      <c r="J154" s="19"/>
      <c r="K154" s="127"/>
      <c r="L154" s="127"/>
      <c r="M154" s="127"/>
      <c r="N154" s="127"/>
      <c r="O154" s="127"/>
      <c r="P154" s="127"/>
      <c r="Q154" s="127"/>
      <c r="R154" s="127"/>
      <c r="S154" s="14"/>
      <c r="T154" s="14"/>
      <c r="U154" s="61">
        <f>U152/U153</f>
        <v>9.563015719776316E-3</v>
      </c>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row>
    <row r="155" spans="1:88" x14ac:dyDescent="0.3">
      <c r="B155" s="690" t="s">
        <v>124</v>
      </c>
      <c r="C155" s="690"/>
      <c r="D155" s="10"/>
      <c r="E155" s="10"/>
      <c r="F155" s="10"/>
      <c r="G155" s="10"/>
      <c r="H155" s="10"/>
      <c r="I155" s="10"/>
      <c r="J155" s="10"/>
      <c r="K155" s="207">
        <f>341+11+3+2+1</f>
        <v>358</v>
      </c>
      <c r="L155" s="207">
        <f>349+20+4+3+1</f>
        <v>377</v>
      </c>
      <c r="M155" s="208">
        <f>374+16+4+2+1.6</f>
        <v>397.6</v>
      </c>
      <c r="N155" s="208">
        <f>380+21+3+2+0.3</f>
        <v>406.3</v>
      </c>
      <c r="O155" s="208">
        <f>401+24+4+1+1</f>
        <v>431</v>
      </c>
      <c r="P155" s="208">
        <f>390+22+4+1</f>
        <v>417</v>
      </c>
      <c r="Q155" s="208">
        <f>410+25+5+1</f>
        <v>441</v>
      </c>
      <c r="R155" s="208">
        <v>478</v>
      </c>
      <c r="S155" s="14">
        <v>484</v>
      </c>
      <c r="T155" s="211">
        <v>555.79999999999995</v>
      </c>
      <c r="U155" s="208">
        <v>563</v>
      </c>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row>
    <row r="156" spans="1:88" x14ac:dyDescent="0.3">
      <c r="B156" s="690" t="s">
        <v>125</v>
      </c>
      <c r="C156" s="690"/>
      <c r="D156" s="10"/>
      <c r="E156" s="10"/>
      <c r="F156" s="10"/>
      <c r="G156" s="10"/>
      <c r="H156" s="10"/>
      <c r="I156" s="10"/>
      <c r="J156" s="10"/>
      <c r="K156" s="125">
        <v>80110</v>
      </c>
      <c r="L156" s="125">
        <v>81807</v>
      </c>
      <c r="M156" s="14">
        <f>'Bevs(2000-2017)'!M266</f>
        <v>82491</v>
      </c>
      <c r="N156" s="14">
        <f>'Bevs(2000-2017)'!N266</f>
        <v>82174</v>
      </c>
      <c r="O156" s="14">
        <f>'Bevs(2000-2017)'!O266</f>
        <v>82391</v>
      </c>
      <c r="P156" s="14">
        <f>'Bevs(2000-2017)'!P266</f>
        <v>82223</v>
      </c>
      <c r="Q156" s="14">
        <f>'Bevs(2000-2017)'!Q266</f>
        <v>82031</v>
      </c>
      <c r="R156" s="14">
        <f>'Bevs(2000-2017)'!R266</f>
        <v>82783</v>
      </c>
      <c r="S156" s="14">
        <v>84587</v>
      </c>
      <c r="T156" s="14">
        <v>85164</v>
      </c>
      <c r="U156" s="14">
        <v>88706</v>
      </c>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row>
    <row r="157" spans="1:88" s="475" customFormat="1" x14ac:dyDescent="0.3">
      <c r="A157" s="6"/>
      <c r="B157" s="34" t="s">
        <v>193</v>
      </c>
      <c r="C157" s="542"/>
      <c r="D157" s="10"/>
      <c r="E157" s="10"/>
      <c r="F157" s="10"/>
      <c r="G157" s="10"/>
      <c r="H157" s="10"/>
      <c r="I157" s="10"/>
      <c r="J157" s="10"/>
      <c r="K157" s="125"/>
      <c r="L157" s="125"/>
      <c r="M157" s="14"/>
      <c r="N157" s="14"/>
      <c r="O157" s="14"/>
      <c r="P157" s="14"/>
      <c r="Q157" s="14"/>
      <c r="R157" s="14"/>
      <c r="S157" s="14"/>
      <c r="T157" s="14"/>
      <c r="U157" s="61">
        <f>U155/U156</f>
        <v>6.3468085586093391E-3</v>
      </c>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row>
    <row r="158" spans="1:88" x14ac:dyDescent="0.3">
      <c r="B158" s="691" t="s">
        <v>126</v>
      </c>
      <c r="C158" s="691"/>
      <c r="D158" s="19"/>
      <c r="E158" s="19"/>
      <c r="F158" s="19"/>
      <c r="G158" s="19"/>
      <c r="H158" s="19"/>
      <c r="I158" s="19"/>
      <c r="J158" s="19"/>
      <c r="K158" s="206">
        <f>11+4</f>
        <v>15</v>
      </c>
      <c r="L158" s="206">
        <f>9+7+1</f>
        <v>17</v>
      </c>
      <c r="M158" s="206">
        <v>0</v>
      </c>
      <c r="N158" s="206">
        <v>12</v>
      </c>
      <c r="O158" s="206">
        <f>16+1</f>
        <v>17</v>
      </c>
      <c r="P158" s="206">
        <f>21+9+2</f>
        <v>32</v>
      </c>
      <c r="Q158" s="206">
        <f>6+1+1+1</f>
        <v>9</v>
      </c>
      <c r="R158" s="206">
        <v>13</v>
      </c>
      <c r="S158" s="14">
        <v>21</v>
      </c>
      <c r="T158" s="14">
        <v>0</v>
      </c>
      <c r="U158" s="14">
        <v>21</v>
      </c>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row>
    <row r="159" spans="1:88" x14ac:dyDescent="0.3">
      <c r="B159" s="691" t="s">
        <v>127</v>
      </c>
      <c r="C159" s="691"/>
      <c r="D159" s="19"/>
      <c r="E159" s="19"/>
      <c r="F159" s="19"/>
      <c r="G159" s="19"/>
      <c r="H159" s="19"/>
      <c r="I159" s="19"/>
      <c r="J159" s="19"/>
      <c r="K159" s="127">
        <v>6125</v>
      </c>
      <c r="L159" s="127">
        <v>6061</v>
      </c>
      <c r="M159" s="127">
        <f>'Bevs(2000-2017)'!M269</f>
        <v>5788</v>
      </c>
      <c r="N159" s="127">
        <f>'Bevs(2000-2017)'!N269</f>
        <v>5918</v>
      </c>
      <c r="O159" s="127">
        <f>'Bevs(2000-2017)'!O269</f>
        <v>6054</v>
      </c>
      <c r="P159" s="127">
        <f>'Bevs(2000-2017)'!P269</f>
        <v>6094</v>
      </c>
      <c r="Q159" s="127">
        <f>'Bevs(2000-2017)'!Q269</f>
        <v>6053</v>
      </c>
      <c r="R159" s="127">
        <f>'Bevs(2000-2017)'!R269</f>
        <v>6032</v>
      </c>
      <c r="S159" s="14">
        <v>5957</v>
      </c>
      <c r="T159" s="14">
        <v>5992</v>
      </c>
      <c r="U159" s="14">
        <v>5561</v>
      </c>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row>
    <row r="160" spans="1:88" s="475" customFormat="1" x14ac:dyDescent="0.3">
      <c r="A160" s="6"/>
      <c r="B160" s="34" t="s">
        <v>193</v>
      </c>
      <c r="C160" s="541"/>
      <c r="D160" s="19"/>
      <c r="E160" s="19"/>
      <c r="F160" s="19"/>
      <c r="G160" s="19"/>
      <c r="H160" s="19"/>
      <c r="I160" s="19"/>
      <c r="J160" s="19"/>
      <c r="K160" s="127"/>
      <c r="L160" s="127"/>
      <c r="M160" s="127"/>
      <c r="N160" s="127"/>
      <c r="O160" s="127"/>
      <c r="P160" s="127"/>
      <c r="Q160" s="127"/>
      <c r="R160" s="127"/>
      <c r="S160" s="14"/>
      <c r="T160" s="14"/>
      <c r="U160" s="61">
        <f>U158/U159</f>
        <v>3.7762992267577774E-3</v>
      </c>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row>
    <row r="161" spans="1:97" x14ac:dyDescent="0.3">
      <c r="B161" s="690" t="s">
        <v>729</v>
      </c>
      <c r="C161" s="690"/>
      <c r="D161" s="10"/>
      <c r="E161" s="10"/>
      <c r="F161" s="10"/>
      <c r="G161" s="10"/>
      <c r="H161" s="10"/>
      <c r="I161" s="10"/>
      <c r="J161" s="10"/>
      <c r="K161" s="207">
        <f>426+20+1</f>
        <v>447</v>
      </c>
      <c r="L161" s="207">
        <f>451+16+2</f>
        <v>469</v>
      </c>
      <c r="M161" s="208">
        <f>439+17+5+1.3+0.3</f>
        <v>462.6</v>
      </c>
      <c r="N161" s="208">
        <f>438+17+4+3</f>
        <v>462</v>
      </c>
      <c r="O161" s="208">
        <f>409+16.1+3+3.6</f>
        <v>431.70000000000005</v>
      </c>
      <c r="P161" s="208">
        <f>429+18+5+2</f>
        <v>454</v>
      </c>
      <c r="Q161" s="208">
        <f>450+25.6+3+1+1.6</f>
        <v>481.20000000000005</v>
      </c>
      <c r="R161" s="208">
        <v>485</v>
      </c>
      <c r="S161" s="14">
        <v>509</v>
      </c>
      <c r="T161" s="211">
        <v>587.5</v>
      </c>
      <c r="U161" s="208">
        <v>663</v>
      </c>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row>
    <row r="162" spans="1:97" s="6" customFormat="1" x14ac:dyDescent="0.3">
      <c r="B162" s="690" t="s">
        <v>515</v>
      </c>
      <c r="C162" s="690"/>
      <c r="D162" s="10"/>
      <c r="E162" s="10"/>
      <c r="F162" s="10"/>
      <c r="G162" s="10"/>
      <c r="H162" s="10"/>
      <c r="I162" s="10"/>
      <c r="J162" s="10"/>
      <c r="K162" s="125">
        <v>81322</v>
      </c>
      <c r="L162" s="125">
        <v>82327</v>
      </c>
      <c r="M162" s="207">
        <f>'Bevs(2000-2017)'!M272</f>
        <v>82368</v>
      </c>
      <c r="N162" s="207">
        <f>'Bevs(2000-2017)'!N272</f>
        <v>81424</v>
      </c>
      <c r="O162" s="207">
        <f>'Bevs(2000-2017)'!O272</f>
        <v>81639</v>
      </c>
      <c r="P162" s="207">
        <f>'Bevs(2000-2017)'!P272</f>
        <v>81634</v>
      </c>
      <c r="Q162" s="207">
        <f>'Bevs(2000-2017)'!Q272</f>
        <v>81152</v>
      </c>
      <c r="R162" s="207">
        <f>'Bevs(2000-2017)'!R272</f>
        <v>81940</v>
      </c>
      <c r="S162" s="14">
        <v>81841</v>
      </c>
      <c r="T162" s="14">
        <v>80622</v>
      </c>
      <c r="U162" s="14">
        <v>87628</v>
      </c>
    </row>
    <row r="163" spans="1:97" s="6" customFormat="1" x14ac:dyDescent="0.3">
      <c r="B163" s="34" t="s">
        <v>193</v>
      </c>
      <c r="C163" s="542"/>
      <c r="D163" s="10"/>
      <c r="E163" s="10"/>
      <c r="F163" s="10"/>
      <c r="G163" s="10"/>
      <c r="H163" s="10"/>
      <c r="I163" s="10"/>
      <c r="J163" s="10"/>
      <c r="K163" s="125"/>
      <c r="L163" s="125"/>
      <c r="M163" s="207"/>
      <c r="N163" s="207"/>
      <c r="O163" s="207"/>
      <c r="P163" s="207"/>
      <c r="Q163" s="207"/>
      <c r="R163" s="207"/>
      <c r="S163" s="14"/>
      <c r="T163" s="14"/>
      <c r="U163" s="61">
        <f>U161/U162</f>
        <v>7.5660747706212629E-3</v>
      </c>
    </row>
    <row r="164" spans="1:97" x14ac:dyDescent="0.3">
      <c r="B164" s="691" t="s">
        <v>128</v>
      </c>
      <c r="C164" s="691"/>
      <c r="D164" s="19"/>
      <c r="E164" s="19"/>
      <c r="F164" s="19"/>
      <c r="G164" s="19"/>
      <c r="H164" s="19"/>
      <c r="I164" s="19"/>
      <c r="J164" s="19"/>
      <c r="K164" s="206">
        <f>140+13</f>
        <v>153</v>
      </c>
      <c r="L164" s="206">
        <f>240+17+1</f>
        <v>258</v>
      </c>
      <c r="M164" s="206">
        <f>135+8+2+2</f>
        <v>147</v>
      </c>
      <c r="N164" s="206">
        <f>208+16+1</f>
        <v>225</v>
      </c>
      <c r="O164" s="206">
        <f>217+14+6+1</f>
        <v>238</v>
      </c>
      <c r="P164" s="206">
        <f>194+17+5+2+1</f>
        <v>219</v>
      </c>
      <c r="Q164" s="206">
        <f>254+13+5+1</f>
        <v>273</v>
      </c>
      <c r="R164" s="206">
        <v>256</v>
      </c>
      <c r="S164" s="14">
        <v>310</v>
      </c>
      <c r="T164" s="211">
        <v>278.10000000000002</v>
      </c>
      <c r="U164" s="206">
        <v>243</v>
      </c>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row>
    <row r="165" spans="1:97" s="6" customFormat="1" x14ac:dyDescent="0.3">
      <c r="B165" s="692" t="s">
        <v>129</v>
      </c>
      <c r="C165" s="692"/>
      <c r="D165" s="128"/>
      <c r="E165" s="128"/>
      <c r="F165" s="128"/>
      <c r="G165" s="128"/>
      <c r="H165" s="128"/>
      <c r="I165" s="128"/>
      <c r="J165" s="128"/>
      <c r="K165" s="130">
        <v>60214</v>
      </c>
      <c r="L165" s="130">
        <v>60992</v>
      </c>
      <c r="M165" s="129">
        <f>'Bevs(2000-2017)'!M275</f>
        <v>60215</v>
      </c>
      <c r="N165" s="129">
        <f>'Bevs(2000-2017)'!N275</f>
        <v>60603</v>
      </c>
      <c r="O165" s="129">
        <f>'Bevs(2000-2017)'!O275</f>
        <v>61768</v>
      </c>
      <c r="P165" s="129">
        <f>'Bevs(2000-2017)'!P275</f>
        <v>63088</v>
      </c>
      <c r="Q165" s="129">
        <f>'Bevs(2000-2017)'!Q275</f>
        <v>64480</v>
      </c>
      <c r="R165" s="129">
        <f>'Bevs(2000-2017)'!R275</f>
        <v>66321</v>
      </c>
      <c r="S165" s="14">
        <v>63918</v>
      </c>
      <c r="T165" s="14">
        <v>66504</v>
      </c>
      <c r="U165" s="14">
        <v>65711</v>
      </c>
    </row>
    <row r="166" spans="1:97" s="6" customFormat="1" x14ac:dyDescent="0.3">
      <c r="B166" s="34" t="s">
        <v>193</v>
      </c>
      <c r="C166" s="543"/>
      <c r="D166" s="128"/>
      <c r="E166" s="128"/>
      <c r="F166" s="128"/>
      <c r="G166" s="128"/>
      <c r="H166" s="128"/>
      <c r="I166" s="128"/>
      <c r="J166" s="128"/>
      <c r="K166" s="130"/>
      <c r="L166" s="130"/>
      <c r="M166" s="129"/>
      <c r="N166" s="129"/>
      <c r="O166" s="129"/>
      <c r="P166" s="129"/>
      <c r="Q166" s="129"/>
      <c r="R166" s="129"/>
      <c r="S166" s="14"/>
      <c r="T166" s="14"/>
      <c r="U166" s="61">
        <f>U164/U165</f>
        <v>3.6980109875058972E-3</v>
      </c>
    </row>
    <row r="167" spans="1:97" s="6" customFormat="1" x14ac:dyDescent="0.3">
      <c r="B167" s="690" t="s">
        <v>130</v>
      </c>
      <c r="C167" s="690"/>
      <c r="D167" s="10"/>
      <c r="E167" s="10"/>
      <c r="F167" s="10"/>
      <c r="G167" s="10"/>
      <c r="H167" s="10"/>
      <c r="I167" s="10"/>
      <c r="J167" s="10"/>
      <c r="K167" s="207">
        <f>65+5+3</f>
        <v>73</v>
      </c>
      <c r="L167" s="207">
        <f>77+5+4+1</f>
        <v>87</v>
      </c>
      <c r="M167" s="207">
        <f>71+4+4</f>
        <v>79</v>
      </c>
      <c r="N167" s="207">
        <f>72+6+5+1</f>
        <v>84</v>
      </c>
      <c r="O167" s="207">
        <f>83+3+5+1</f>
        <v>92</v>
      </c>
      <c r="P167" s="207">
        <f>69+4+3+1</f>
        <v>77</v>
      </c>
      <c r="Q167" s="207">
        <f>70+5+4+1</f>
        <v>80</v>
      </c>
      <c r="R167" s="207">
        <v>88</v>
      </c>
      <c r="S167" s="14">
        <v>103</v>
      </c>
      <c r="T167" s="211">
        <v>104.6</v>
      </c>
      <c r="U167" s="207">
        <v>134</v>
      </c>
    </row>
    <row r="168" spans="1:97" x14ac:dyDescent="0.3">
      <c r="B168" s="690" t="s">
        <v>131</v>
      </c>
      <c r="C168" s="690"/>
      <c r="D168" s="10"/>
      <c r="E168" s="10"/>
      <c r="F168" s="10"/>
      <c r="G168" s="10"/>
      <c r="H168" s="10"/>
      <c r="I168" s="10"/>
      <c r="J168" s="10"/>
      <c r="K168" s="125">
        <v>19791</v>
      </c>
      <c r="L168" s="125">
        <v>20025</v>
      </c>
      <c r="M168" s="125">
        <f>'Bevs(2000-2017)'!M278</f>
        <v>19882</v>
      </c>
      <c r="N168" s="125">
        <f>'Bevs(2000-2017)'!N278</f>
        <v>19987</v>
      </c>
      <c r="O168" s="125">
        <f>'Bevs(2000-2017)'!O278</f>
        <v>20106</v>
      </c>
      <c r="P168" s="125">
        <f>'Bevs(2000-2017)'!P278</f>
        <v>19925</v>
      </c>
      <c r="Q168" s="125">
        <f>'Bevs(2000-2017)'!Q278</f>
        <v>19910</v>
      </c>
      <c r="R168" s="125">
        <f>'Bevs(2000-2017)'!R278</f>
        <v>19921</v>
      </c>
      <c r="S168" s="14">
        <v>19456</v>
      </c>
      <c r="T168" s="14">
        <v>20328</v>
      </c>
      <c r="U168" s="14">
        <v>21139</v>
      </c>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row>
    <row r="169" spans="1:97" s="475" customFormat="1" x14ac:dyDescent="0.3">
      <c r="A169" s="6"/>
      <c r="B169" s="34" t="s">
        <v>193</v>
      </c>
      <c r="C169" s="542"/>
      <c r="D169" s="10"/>
      <c r="E169" s="10"/>
      <c r="F169" s="10"/>
      <c r="G169" s="10"/>
      <c r="H169" s="10"/>
      <c r="I169" s="10"/>
      <c r="J169" s="10"/>
      <c r="K169" s="125"/>
      <c r="L169" s="125"/>
      <c r="M169" s="125"/>
      <c r="N169" s="125"/>
      <c r="O169" s="125"/>
      <c r="P169" s="125"/>
      <c r="Q169" s="125"/>
      <c r="R169" s="125"/>
      <c r="S169" s="14"/>
      <c r="T169" s="14"/>
      <c r="U169" s="61">
        <f>U167/U168</f>
        <v>6.3389942759827806E-3</v>
      </c>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row>
    <row r="170" spans="1:97" x14ac:dyDescent="0.3">
      <c r="B170" s="692" t="s">
        <v>132</v>
      </c>
      <c r="C170" s="692"/>
      <c r="D170" s="128"/>
      <c r="E170" s="128"/>
      <c r="F170" s="128"/>
      <c r="G170" s="128"/>
      <c r="H170" s="128"/>
      <c r="I170" s="128"/>
      <c r="J170" s="128"/>
      <c r="K170" s="209">
        <f>38+13</f>
        <v>51</v>
      </c>
      <c r="L170" s="209">
        <f>52+10+4</f>
        <v>66</v>
      </c>
      <c r="M170" s="128">
        <f>49+1+3</f>
        <v>53</v>
      </c>
      <c r="N170" s="128">
        <f>48+9+3</f>
        <v>60</v>
      </c>
      <c r="O170" s="128">
        <f>35+12+3</f>
        <v>50</v>
      </c>
      <c r="P170" s="128">
        <f>39+5+4</f>
        <v>48</v>
      </c>
      <c r="Q170" s="128">
        <f>50+7+3+1</f>
        <v>61</v>
      </c>
      <c r="R170" s="128">
        <v>91</v>
      </c>
      <c r="S170" s="14">
        <v>71</v>
      </c>
      <c r="T170" s="6">
        <v>92</v>
      </c>
      <c r="U170" s="6" t="s">
        <v>730</v>
      </c>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row>
    <row r="171" spans="1:97" x14ac:dyDescent="0.3">
      <c r="B171" s="692" t="s">
        <v>133</v>
      </c>
      <c r="C171" s="692"/>
      <c r="D171" s="128"/>
      <c r="E171" s="128"/>
      <c r="F171" s="128"/>
      <c r="G171" s="128"/>
      <c r="H171" s="128"/>
      <c r="I171" s="128"/>
      <c r="J171" s="128"/>
      <c r="K171" s="130">
        <v>19755</v>
      </c>
      <c r="L171" s="130">
        <v>19621</v>
      </c>
      <c r="M171" s="129">
        <f>'Bevs(2000-2017)'!M281</f>
        <v>19169</v>
      </c>
      <c r="N171" s="129">
        <f>'Bevs(2000-2017)'!N281</f>
        <v>19115</v>
      </c>
      <c r="O171" s="129">
        <f>'Bevs(2000-2017)'!O281</f>
        <v>19135</v>
      </c>
      <c r="P171" s="129">
        <f>'Bevs(2000-2017)'!P281</f>
        <v>18892</v>
      </c>
      <c r="Q171" s="129">
        <f>'Bevs(2000-2017)'!Q281</f>
        <v>18536</v>
      </c>
      <c r="R171" s="129">
        <f>'Bevs(2000-2017)'!R281</f>
        <v>18165</v>
      </c>
      <c r="S171" s="14">
        <v>17533</v>
      </c>
      <c r="T171" s="14">
        <v>17389</v>
      </c>
      <c r="U171" s="14">
        <v>18854</v>
      </c>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row>
    <row r="172" spans="1:97" s="475" customFormat="1" x14ac:dyDescent="0.3">
      <c r="A172" s="6"/>
      <c r="B172" s="34" t="s">
        <v>193</v>
      </c>
      <c r="C172" s="543"/>
      <c r="D172" s="128"/>
      <c r="E172" s="128"/>
      <c r="F172" s="128"/>
      <c r="G172" s="128"/>
      <c r="H172" s="128"/>
      <c r="I172" s="128"/>
      <c r="J172" s="128"/>
      <c r="K172" s="130"/>
      <c r="L172" s="130"/>
      <c r="M172" s="129"/>
      <c r="N172" s="129"/>
      <c r="O172" s="129"/>
      <c r="P172" s="129"/>
      <c r="Q172" s="129"/>
      <c r="R172" s="129"/>
      <c r="S172" s="14"/>
      <c r="T172" s="14"/>
      <c r="U172" s="61" t="e">
        <f>U170/U171</f>
        <v>#VALUE!</v>
      </c>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row>
    <row r="173" spans="1:97" x14ac:dyDescent="0.3">
      <c r="B173" s="690" t="s">
        <v>134</v>
      </c>
      <c r="C173" s="690"/>
      <c r="D173" s="10"/>
      <c r="E173" s="10"/>
      <c r="F173" s="10"/>
      <c r="G173" s="10"/>
      <c r="H173" s="10"/>
      <c r="I173" s="10"/>
      <c r="J173" s="10"/>
      <c r="K173" s="207">
        <f>215+7</f>
        <v>222</v>
      </c>
      <c r="L173" s="207">
        <f>288+7+3</f>
        <v>298</v>
      </c>
      <c r="M173" s="207">
        <f>250+6+2</f>
        <v>258</v>
      </c>
      <c r="N173" s="207">
        <f>225+4</f>
        <v>229</v>
      </c>
      <c r="O173" s="207">
        <f>278+10</f>
        <v>288</v>
      </c>
      <c r="P173" s="207">
        <f>209+9</f>
        <v>218</v>
      </c>
      <c r="Q173" s="207">
        <f>284+18+4+1</f>
        <v>307</v>
      </c>
      <c r="R173" s="207">
        <v>358</v>
      </c>
      <c r="S173" s="14">
        <v>362</v>
      </c>
      <c r="T173" s="211">
        <v>392.2</v>
      </c>
      <c r="U173" s="207">
        <v>460</v>
      </c>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row>
    <row r="174" spans="1:97" x14ac:dyDescent="0.3">
      <c r="B174" s="690" t="s">
        <v>135</v>
      </c>
      <c r="C174" s="690"/>
      <c r="D174" s="10"/>
      <c r="E174" s="10"/>
      <c r="F174" s="10"/>
      <c r="G174" s="10"/>
      <c r="H174" s="10"/>
      <c r="I174" s="10"/>
      <c r="J174" s="10"/>
      <c r="K174" s="125">
        <v>37124</v>
      </c>
      <c r="L174" s="125">
        <v>37847</v>
      </c>
      <c r="M174" s="125">
        <f>'Bevs(2000-2017)'!M284</f>
        <v>38059</v>
      </c>
      <c r="N174" s="125">
        <f>'Bevs(2000-2017)'!N284</f>
        <v>38788</v>
      </c>
      <c r="O174" s="125">
        <f>'Bevs(2000-2017)'!O284</f>
        <v>39513</v>
      </c>
      <c r="P174" s="125">
        <f>'Bevs(2000-2017)'!P284</f>
        <v>40618</v>
      </c>
      <c r="Q174" s="125">
        <f>'Bevs(2000-2017)'!Q284</f>
        <v>40867</v>
      </c>
      <c r="R174" s="125">
        <f>'Bevs(2000-2017)'!R284</f>
        <v>41496</v>
      </c>
      <c r="S174" s="14">
        <v>40378</v>
      </c>
      <c r="T174" s="14">
        <v>41531</v>
      </c>
      <c r="U174" s="14">
        <v>44637</v>
      </c>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row>
    <row r="175" spans="1:97" s="475" customFormat="1" x14ac:dyDescent="0.3">
      <c r="A175" s="6"/>
      <c r="B175" s="34" t="s">
        <v>193</v>
      </c>
      <c r="C175" s="542"/>
      <c r="D175" s="10"/>
      <c r="E175" s="10"/>
      <c r="F175" s="10"/>
      <c r="G175" s="10"/>
      <c r="H175" s="10"/>
      <c r="I175" s="10"/>
      <c r="J175" s="10"/>
      <c r="K175" s="125"/>
      <c r="L175" s="125"/>
      <c r="M175" s="125"/>
      <c r="N175" s="125"/>
      <c r="O175" s="125"/>
      <c r="P175" s="125"/>
      <c r="Q175" s="125"/>
      <c r="R175" s="125"/>
      <c r="S175" s="14"/>
      <c r="T175" s="14"/>
      <c r="U175" s="61">
        <f>U173/U174</f>
        <v>1.030535206219056E-2</v>
      </c>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row>
    <row r="176" spans="1:97" x14ac:dyDescent="0.3">
      <c r="B176" s="692" t="s">
        <v>360</v>
      </c>
      <c r="C176" s="692"/>
      <c r="D176" s="19"/>
      <c r="E176" s="19"/>
      <c r="F176" s="19"/>
      <c r="G176" s="19"/>
      <c r="H176" s="19"/>
      <c r="I176" s="19"/>
      <c r="J176" s="19"/>
      <c r="K176" s="127"/>
      <c r="L176" s="127"/>
      <c r="M176" s="127"/>
      <c r="N176" s="127"/>
      <c r="O176" s="127"/>
      <c r="P176" s="127"/>
      <c r="Q176" s="127">
        <f>160+48.2+10+1+2.3</f>
        <v>221.5</v>
      </c>
      <c r="R176" s="127">
        <v>241</v>
      </c>
      <c r="S176" s="14">
        <v>344</v>
      </c>
      <c r="T176" s="211">
        <v>362.2</v>
      </c>
      <c r="U176" s="127">
        <v>349</v>
      </c>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row>
    <row r="177" spans="1:104" x14ac:dyDescent="0.3">
      <c r="B177" s="692" t="s">
        <v>361</v>
      </c>
      <c r="C177" s="692"/>
      <c r="D177" s="19"/>
      <c r="E177" s="19"/>
      <c r="F177" s="19"/>
      <c r="G177" s="19"/>
      <c r="H177" s="19"/>
      <c r="I177" s="19"/>
      <c r="J177" s="19"/>
      <c r="K177" s="127"/>
      <c r="L177" s="127"/>
      <c r="M177" s="127"/>
      <c r="N177" s="127"/>
      <c r="O177" s="127"/>
      <c r="P177" s="127"/>
      <c r="Q177" s="127">
        <f>'Bevs(2000-2017)'!Q287</f>
        <v>44243</v>
      </c>
      <c r="R177" s="127">
        <f>'Bevs(2000-2017)'!R287</f>
        <v>44869</v>
      </c>
      <c r="S177" s="14">
        <v>45448</v>
      </c>
      <c r="T177" s="14">
        <v>46175</v>
      </c>
      <c r="U177" s="14">
        <v>47346</v>
      </c>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row>
    <row r="178" spans="1:104" s="475" customFormat="1" x14ac:dyDescent="0.3">
      <c r="A178" s="6"/>
      <c r="B178" s="34" t="s">
        <v>193</v>
      </c>
      <c r="C178" s="543"/>
      <c r="D178" s="19"/>
      <c r="E178" s="19"/>
      <c r="F178" s="19"/>
      <c r="G178" s="19"/>
      <c r="H178" s="19"/>
      <c r="I178" s="19"/>
      <c r="J178" s="19"/>
      <c r="K178" s="127"/>
      <c r="L178" s="127"/>
      <c r="M178" s="127"/>
      <c r="N178" s="127"/>
      <c r="O178" s="127"/>
      <c r="P178" s="127"/>
      <c r="Q178" s="127"/>
      <c r="R178" s="127"/>
      <c r="S178" s="14"/>
      <c r="T178" s="14"/>
      <c r="U178" s="61">
        <f>U176/U177</f>
        <v>7.3712668440839776E-3</v>
      </c>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row>
    <row r="179" spans="1:104" x14ac:dyDescent="0.3">
      <c r="B179" s="690" t="s">
        <v>136</v>
      </c>
      <c r="C179" s="690"/>
      <c r="D179" s="10"/>
      <c r="E179" s="10"/>
      <c r="F179" s="10"/>
      <c r="G179" s="10"/>
      <c r="H179" s="10"/>
      <c r="I179" s="10"/>
      <c r="J179" s="10"/>
      <c r="K179" s="207">
        <f>278+13+29+6+2</f>
        <v>328</v>
      </c>
      <c r="L179" s="207">
        <f>320+11+16+5</f>
        <v>352</v>
      </c>
      <c r="M179" s="208">
        <f>325+7+15+3.1+1.6</f>
        <v>351.70000000000005</v>
      </c>
      <c r="N179" s="208">
        <f>300+35+15+2.3+0.6</f>
        <v>352.90000000000003</v>
      </c>
      <c r="O179" s="208">
        <f>273+20.3+12+2+1.5</f>
        <v>308.8</v>
      </c>
      <c r="P179" s="208">
        <f>280+37+18+3+2</f>
        <v>340</v>
      </c>
      <c r="Q179" s="208">
        <f>298+51.4+16+2.9+0.9</f>
        <v>369.19999999999993</v>
      </c>
      <c r="R179" s="208">
        <v>359</v>
      </c>
      <c r="S179" s="14">
        <v>381</v>
      </c>
      <c r="T179" s="211">
        <v>497.20000000000005</v>
      </c>
      <c r="U179" s="208">
        <v>458</v>
      </c>
      <c r="V179" s="14"/>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row>
    <row r="180" spans="1:104" x14ac:dyDescent="0.3">
      <c r="B180" s="690" t="s">
        <v>137</v>
      </c>
      <c r="C180" s="690"/>
      <c r="D180" s="10"/>
      <c r="E180" s="10"/>
      <c r="F180" s="10"/>
      <c r="G180" s="10"/>
      <c r="H180" s="10"/>
      <c r="I180" s="10"/>
      <c r="J180" s="10"/>
      <c r="K180" s="125">
        <v>28590</v>
      </c>
      <c r="L180" s="125">
        <v>29197</v>
      </c>
      <c r="M180" s="14">
        <f>'Bevs(2000-2017)'!M290</f>
        <v>28528</v>
      </c>
      <c r="N180" s="14">
        <f>'Bevs(2000-2017)'!N290</f>
        <v>28590</v>
      </c>
      <c r="O180" s="14">
        <f>'Bevs(2000-2017)'!O290</f>
        <v>28918</v>
      </c>
      <c r="P180" s="14">
        <f>'Bevs(2000-2017)'!P290</f>
        <v>29118</v>
      </c>
      <c r="Q180" s="14">
        <f>'Bevs(2000-2017)'!Q290</f>
        <v>29098</v>
      </c>
      <c r="R180" s="14">
        <f>'Bevs(2000-2017)'!R290</f>
        <v>29584</v>
      </c>
      <c r="S180" s="14">
        <v>29177</v>
      </c>
      <c r="T180" s="14">
        <v>29243</v>
      </c>
      <c r="U180" s="14">
        <v>31630</v>
      </c>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row>
    <row r="181" spans="1:104" s="475" customFormat="1" x14ac:dyDescent="0.3">
      <c r="A181" s="6"/>
      <c r="B181" s="34" t="s">
        <v>193</v>
      </c>
      <c r="C181" s="542"/>
      <c r="D181" s="10"/>
      <c r="E181" s="10"/>
      <c r="F181" s="10"/>
      <c r="G181" s="10"/>
      <c r="H181" s="10"/>
      <c r="I181" s="10"/>
      <c r="J181" s="10"/>
      <c r="K181" s="125"/>
      <c r="L181" s="125"/>
      <c r="M181" s="14"/>
      <c r="N181" s="14"/>
      <c r="O181" s="14"/>
      <c r="P181" s="14"/>
      <c r="Q181" s="14"/>
      <c r="R181" s="14"/>
      <c r="S181" s="14"/>
      <c r="T181" s="14"/>
      <c r="U181" s="61">
        <f>U179/U180</f>
        <v>1.4479924122668353E-2</v>
      </c>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row>
    <row r="182" spans="1:104" x14ac:dyDescent="0.3">
      <c r="B182" s="691" t="s">
        <v>138</v>
      </c>
      <c r="C182" s="691"/>
      <c r="D182" s="19"/>
      <c r="E182" s="19"/>
      <c r="F182" s="19"/>
      <c r="G182" s="19"/>
      <c r="H182" s="19"/>
      <c r="I182" s="19"/>
      <c r="J182" s="19"/>
      <c r="K182" s="206">
        <f>349+22+6+1+1</f>
        <v>379</v>
      </c>
      <c r="L182" s="206">
        <f>453+23+7+2+1</f>
        <v>486</v>
      </c>
      <c r="M182" s="206">
        <f>465+16+5+1+3</f>
        <v>490</v>
      </c>
      <c r="N182" s="206">
        <f>464+15+5+1.3+1</f>
        <v>486.3</v>
      </c>
      <c r="O182" s="206">
        <f>499+12+4+1+1</f>
        <v>517</v>
      </c>
      <c r="P182" s="206">
        <f>518+24+5+1+1</f>
        <v>549</v>
      </c>
      <c r="Q182" s="206">
        <f>521+23+5+1+2</f>
        <v>552</v>
      </c>
      <c r="R182" s="206">
        <v>1271</v>
      </c>
      <c r="S182" s="14">
        <v>648</v>
      </c>
      <c r="T182" s="211">
        <v>698.2</v>
      </c>
      <c r="U182" s="206">
        <v>751</v>
      </c>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row>
    <row r="183" spans="1:104" x14ac:dyDescent="0.3">
      <c r="B183" s="691" t="s">
        <v>139</v>
      </c>
      <c r="C183" s="691"/>
      <c r="D183" s="19"/>
      <c r="E183" s="19"/>
      <c r="F183" s="19"/>
      <c r="G183" s="19"/>
      <c r="H183" s="19"/>
      <c r="I183" s="19"/>
      <c r="J183" s="19"/>
      <c r="K183" s="127">
        <v>127335</v>
      </c>
      <c r="L183" s="127">
        <v>130198</v>
      </c>
      <c r="M183" s="127">
        <f>'Bevs(2000-2017)'!M293</f>
        <v>130833</v>
      </c>
      <c r="N183" s="127">
        <f>'Bevs(2000-2017)'!N293</f>
        <v>130287</v>
      </c>
      <c r="O183" s="127">
        <f>'Bevs(2000-2017)'!O293</f>
        <v>130832</v>
      </c>
      <c r="P183" s="127">
        <f>'Bevs(2000-2017)'!P293</f>
        <v>130902</v>
      </c>
      <c r="Q183" s="127">
        <f>'Bevs(2000-2017)'!Q293</f>
        <v>131730</v>
      </c>
      <c r="R183" s="127">
        <f>'Bevs(2000-2017)'!R293</f>
        <v>133270</v>
      </c>
      <c r="S183" s="14">
        <v>133191</v>
      </c>
      <c r="T183" s="14">
        <v>135074</v>
      </c>
      <c r="U183" s="14">
        <v>140118</v>
      </c>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row>
    <row r="184" spans="1:104" s="475" customFormat="1" x14ac:dyDescent="0.3">
      <c r="A184" s="6"/>
      <c r="B184" s="34" t="s">
        <v>193</v>
      </c>
      <c r="C184" s="541"/>
      <c r="D184" s="19"/>
      <c r="E184" s="19"/>
      <c r="F184" s="19"/>
      <c r="G184" s="19"/>
      <c r="H184" s="19"/>
      <c r="I184" s="19"/>
      <c r="J184" s="19"/>
      <c r="K184" s="127"/>
      <c r="L184" s="127"/>
      <c r="M184" s="127"/>
      <c r="N184" s="127"/>
      <c r="O184" s="127"/>
      <c r="P184" s="127"/>
      <c r="Q184" s="127"/>
      <c r="R184" s="127"/>
      <c r="S184" s="14"/>
      <c r="T184" s="14"/>
      <c r="U184" s="61">
        <f>U182/U183</f>
        <v>5.3597681953781815E-3</v>
      </c>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row>
    <row r="185" spans="1:104" x14ac:dyDescent="0.3">
      <c r="B185" s="690" t="s">
        <v>273</v>
      </c>
      <c r="C185" s="690"/>
      <c r="D185" s="496"/>
      <c r="E185" s="497"/>
      <c r="F185" s="497"/>
      <c r="G185" s="497"/>
      <c r="H185" s="497"/>
      <c r="I185" s="497"/>
      <c r="J185" s="497"/>
      <c r="K185" s="498">
        <f>17122+738.3+395+101.9+49.3</f>
        <v>18406.5</v>
      </c>
      <c r="L185" s="498">
        <f>19856+861.3+494+125.6+53.5</f>
        <v>21390.399999999998</v>
      </c>
      <c r="M185" s="499">
        <f>20673+718+499+137.7+63.7</f>
        <v>22091.4</v>
      </c>
      <c r="N185" s="499">
        <f>21776+904+571+153.2+66.7</f>
        <v>23470.9</v>
      </c>
      <c r="O185" s="499">
        <f>22264+1100+635+161.2+89.2</f>
        <v>24249.4</v>
      </c>
      <c r="P185" s="499">
        <f>P98+P101+P104+P107+P110+P113+P116+P119+P125+P128+P131+P134+P137+P146+P140+P143+P149+P152+P155+P158+P161+P164+P167+P170+P173+P179+P182</f>
        <v>24258</v>
      </c>
      <c r="Q185" s="499">
        <f>Q98+Q101+Q104+Q107+Q110+Q113+Q116+Q119+Q122+Q125+Q128+Q131+Q134+Q137+Q146+Q140+Q143+Q149+Q152+Q155+Q158+Q161+Q164+Q167+Q170+Q173+Q176+Q179+Q182</f>
        <v>24727.300000000003</v>
      </c>
      <c r="R185" s="499">
        <v>27341</v>
      </c>
      <c r="S185" s="499">
        <f>SUM(S182,S179,S176,S173,S170,S167,S164,S161,S158,S155,S152,S149,S146,S143,S140,S137,S134,S131,S128,S122,S119,S116,S113,S110,S107,S104,S101,S98)</f>
        <v>29101</v>
      </c>
      <c r="T185" s="499">
        <f>SUM(T182,T179,T176,T173,T170,T167,T164,T161,T158,T155,T152,T149,T146,T143,T140,T137,T134,T131,T128,T122,T119,T116,T113,T110,T107,T104,T101,T98)</f>
        <v>30535.800000000003</v>
      </c>
      <c r="U185" s="499">
        <v>30621</v>
      </c>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row>
    <row r="186" spans="1:104" x14ac:dyDescent="0.3">
      <c r="B186" s="690" t="s">
        <v>274</v>
      </c>
      <c r="C186" s="690"/>
      <c r="D186" s="10"/>
      <c r="E186" s="10"/>
      <c r="F186" s="10"/>
      <c r="G186" s="10"/>
      <c r="H186" s="10"/>
      <c r="I186" s="10"/>
      <c r="J186" s="10"/>
      <c r="K186" s="125">
        <v>4309453</v>
      </c>
      <c r="L186" s="125">
        <v>4383845</v>
      </c>
      <c r="M186" s="14">
        <f>'Bevs(2000-2017)'!M294</f>
        <v>4465924</v>
      </c>
      <c r="N186" s="14">
        <f>'Bevs(2000-2017)'!N294</f>
        <v>4465924</v>
      </c>
      <c r="O186" s="14">
        <f>'Bevs(2000-2017)'!O294</f>
        <v>4499139</v>
      </c>
      <c r="P186" s="14">
        <f>'Bevs(2000-2017)'!P294</f>
        <v>4542508</v>
      </c>
      <c r="Q186" s="14">
        <f>'Bevs(2000-2017)'!Q294</f>
        <v>4582625</v>
      </c>
      <c r="R186" s="14">
        <f>'Bevs(2000-2017)'!R294</f>
        <v>4631302</v>
      </c>
      <c r="S186" s="14">
        <f>'Bevs(2000-2017)'!S294</f>
        <v>4682484</v>
      </c>
      <c r="T186" s="14">
        <f>'Bevs(2000-2017)'!T294</f>
        <v>4750938</v>
      </c>
      <c r="U186" s="14">
        <v>4921415</v>
      </c>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row>
    <row r="187" spans="1:104" x14ac:dyDescent="0.3">
      <c r="B187" s="34" t="s">
        <v>744</v>
      </c>
      <c r="C187" s="9"/>
      <c r="K187" s="17"/>
      <c r="U187" s="61">
        <f>U185/U186</f>
        <v>6.2219910330667096E-3</v>
      </c>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row>
    <row r="188" spans="1:104" s="5" customFormat="1" ht="23.4" x14ac:dyDescent="0.45">
      <c r="A188" s="6"/>
      <c r="B188" s="30" t="s">
        <v>65</v>
      </c>
      <c r="C188" s="3"/>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row>
    <row r="189" spans="1:104" s="5" customFormat="1" x14ac:dyDescent="0.3">
      <c r="A189" s="6"/>
      <c r="B189" s="32"/>
      <c r="C189" s="32"/>
      <c r="D189" s="32">
        <v>2000</v>
      </c>
      <c r="E189" s="32">
        <v>2001</v>
      </c>
      <c r="F189" s="32">
        <v>2002</v>
      </c>
      <c r="G189" s="32">
        <v>2003</v>
      </c>
      <c r="H189" s="32">
        <v>2004</v>
      </c>
      <c r="I189" s="32">
        <v>2005</v>
      </c>
      <c r="J189" s="32">
        <v>2006</v>
      </c>
      <c r="K189" s="32">
        <v>2007</v>
      </c>
      <c r="L189" s="32">
        <v>2008</v>
      </c>
      <c r="M189" s="32">
        <v>2009</v>
      </c>
      <c r="N189" s="32">
        <v>2010</v>
      </c>
      <c r="O189" s="32">
        <v>2011</v>
      </c>
      <c r="P189" s="32">
        <v>2012</v>
      </c>
      <c r="Q189" s="32">
        <v>2013</v>
      </c>
      <c r="R189" s="32">
        <v>2014</v>
      </c>
      <c r="S189" s="32">
        <v>2015</v>
      </c>
      <c r="T189" s="32">
        <v>2016</v>
      </c>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row>
    <row r="190" spans="1:104" x14ac:dyDescent="0.3">
      <c r="B190" s="11" t="s">
        <v>10</v>
      </c>
      <c r="C190" s="11"/>
      <c r="D190" s="12"/>
      <c r="E190" s="12"/>
      <c r="F190" s="12"/>
      <c r="G190" s="12"/>
      <c r="H190" s="11"/>
      <c r="I190" s="11"/>
      <c r="J190" s="11"/>
      <c r="K190" s="11"/>
      <c r="L190" s="11"/>
      <c r="M190" s="11"/>
      <c r="N190" s="11"/>
      <c r="O190" s="11"/>
      <c r="P190" s="11"/>
      <c r="Q190" s="11"/>
      <c r="R190" s="11"/>
      <c r="S190" s="11"/>
      <c r="T190" s="11"/>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row>
    <row r="191" spans="1:104" x14ac:dyDescent="0.3">
      <c r="B191" s="690" t="s">
        <v>197</v>
      </c>
      <c r="C191" s="690"/>
      <c r="D191" s="16">
        <v>0.31</v>
      </c>
      <c r="E191" s="1">
        <v>0.35449999999999998</v>
      </c>
      <c r="F191" s="1">
        <v>0.39400000000000002</v>
      </c>
      <c r="G191" s="1">
        <v>0.40300000000000002</v>
      </c>
      <c r="H191" s="1">
        <v>0.40899999999999997</v>
      </c>
      <c r="I191" s="1">
        <v>0.3503</v>
      </c>
      <c r="J191" s="1">
        <v>0.34539999999999998</v>
      </c>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row>
    <row r="192" spans="1:104" x14ac:dyDescent="0.3">
      <c r="B192" s="690" t="s">
        <v>16</v>
      </c>
      <c r="C192" s="690"/>
      <c r="D192" s="7">
        <v>27</v>
      </c>
      <c r="E192" s="7">
        <v>27</v>
      </c>
      <c r="F192" s="7">
        <v>23</v>
      </c>
      <c r="G192" s="36">
        <v>23</v>
      </c>
      <c r="H192" s="36">
        <v>24</v>
      </c>
      <c r="I192" s="36">
        <v>25</v>
      </c>
      <c r="J192" s="36">
        <v>25</v>
      </c>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row>
    <row r="193" spans="1:104" x14ac:dyDescent="0.3">
      <c r="B193" s="11" t="s">
        <v>9</v>
      </c>
      <c r="C193" s="11"/>
      <c r="D193" s="12"/>
      <c r="E193" s="12"/>
      <c r="F193" s="12"/>
      <c r="G193" s="12"/>
      <c r="H193" s="11"/>
      <c r="I193" s="11"/>
      <c r="J193" s="11"/>
      <c r="K193" s="11"/>
      <c r="L193" s="11"/>
      <c r="M193" s="11"/>
      <c r="N193" s="11"/>
      <c r="O193" s="11"/>
      <c r="P193" s="11"/>
      <c r="Q193" s="11"/>
      <c r="R193" s="11"/>
      <c r="S193" s="11"/>
      <c r="T193" s="11"/>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row>
    <row r="194" spans="1:104" x14ac:dyDescent="0.3">
      <c r="B194" s="690"/>
      <c r="C194" s="690"/>
      <c r="D194" s="4"/>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row>
    <row r="195" spans="1:104" x14ac:dyDescent="0.3">
      <c r="B195" s="11" t="s">
        <v>8</v>
      </c>
      <c r="C195" s="11"/>
      <c r="D195" s="12"/>
      <c r="E195" s="12"/>
      <c r="F195" s="12"/>
      <c r="G195" s="12"/>
      <c r="H195" s="11"/>
      <c r="I195" s="11"/>
      <c r="J195" s="11"/>
      <c r="K195" s="11"/>
      <c r="L195" s="11"/>
      <c r="M195" s="11"/>
      <c r="N195" s="11"/>
      <c r="O195" s="11"/>
      <c r="P195" s="11"/>
      <c r="Q195" s="11"/>
      <c r="R195" s="11"/>
      <c r="S195" s="11"/>
      <c r="T195" s="11"/>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row>
    <row r="196" spans="1:104" x14ac:dyDescent="0.3">
      <c r="B196" s="690" t="s">
        <v>194</v>
      </c>
      <c r="C196" s="690"/>
      <c r="D196" s="7">
        <v>596045</v>
      </c>
      <c r="E196" s="2">
        <v>481305</v>
      </c>
      <c r="F196" s="2">
        <v>440375</v>
      </c>
      <c r="G196" s="2">
        <v>378066</v>
      </c>
      <c r="H196" s="2">
        <v>381109</v>
      </c>
      <c r="I196" s="2">
        <v>418955</v>
      </c>
      <c r="J196" s="2">
        <v>411915</v>
      </c>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row>
    <row r="197" spans="1:104" x14ac:dyDescent="0.3">
      <c r="B197" s="690" t="s">
        <v>195</v>
      </c>
      <c r="C197" s="690"/>
      <c r="D197" s="7">
        <v>90343</v>
      </c>
      <c r="E197" s="2">
        <v>56753</v>
      </c>
      <c r="F197" s="2">
        <v>49254</v>
      </c>
      <c r="G197" s="2">
        <v>32998</v>
      </c>
      <c r="H197" s="2">
        <v>71420</v>
      </c>
      <c r="I197" s="2">
        <v>70378</v>
      </c>
      <c r="J197" s="2">
        <v>67555</v>
      </c>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row>
    <row r="198" spans="1:104" x14ac:dyDescent="0.3">
      <c r="B198" s="690" t="s">
        <v>196</v>
      </c>
      <c r="C198" s="690"/>
      <c r="D198" s="7">
        <v>94429</v>
      </c>
      <c r="E198" s="2">
        <v>113865</v>
      </c>
      <c r="F198" s="2">
        <v>124263</v>
      </c>
      <c r="G198" s="2">
        <v>123113</v>
      </c>
      <c r="H198" s="2">
        <v>84597</v>
      </c>
      <c r="I198" s="2">
        <v>76373</v>
      </c>
      <c r="J198" s="2">
        <v>74739</v>
      </c>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row>
    <row r="199" spans="1:104" x14ac:dyDescent="0.3">
      <c r="B199" s="690" t="s">
        <v>198</v>
      </c>
      <c r="C199" s="690"/>
      <c r="D199" s="7">
        <v>86842</v>
      </c>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row>
    <row r="200" spans="1:104" x14ac:dyDescent="0.3">
      <c r="B200" s="690" t="s">
        <v>199</v>
      </c>
      <c r="C200" s="690"/>
      <c r="D200" s="7">
        <v>2000</v>
      </c>
      <c r="E200" s="2">
        <v>3250</v>
      </c>
      <c r="F200" s="2">
        <v>3000</v>
      </c>
      <c r="G200" s="2">
        <v>3500</v>
      </c>
      <c r="H200" s="2">
        <v>2400</v>
      </c>
      <c r="I200" s="2">
        <v>2200</v>
      </c>
      <c r="J200" s="2">
        <v>2100</v>
      </c>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row>
    <row r="201" spans="1:104" x14ac:dyDescent="0.3">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row>
    <row r="202" spans="1:104" x14ac:dyDescent="0.3">
      <c r="B202" s="23" t="s">
        <v>202</v>
      </c>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row>
    <row r="203" spans="1:104" x14ac:dyDescent="0.3">
      <c r="B203" t="s">
        <v>200</v>
      </c>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row>
    <row r="204" spans="1:104" x14ac:dyDescent="0.3">
      <c r="B204" t="s">
        <v>201</v>
      </c>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row>
    <row r="205" spans="1:104" x14ac:dyDescent="0.3">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row>
    <row r="206" spans="1:104" s="6" customFormat="1" ht="23.4" x14ac:dyDescent="0.45">
      <c r="B206" s="166" t="s">
        <v>490</v>
      </c>
      <c r="C206" s="166"/>
      <c r="D206" s="167"/>
      <c r="E206" s="167"/>
      <c r="F206" s="167"/>
      <c r="G206" s="167"/>
      <c r="H206" s="167"/>
      <c r="I206" s="167"/>
      <c r="J206" s="167"/>
      <c r="K206" s="167"/>
      <c r="L206" s="167"/>
      <c r="M206" s="167"/>
      <c r="N206" s="167"/>
      <c r="O206" s="167"/>
      <c r="P206" s="167"/>
      <c r="Q206" s="167"/>
      <c r="R206" s="167"/>
      <c r="S206" s="167"/>
      <c r="T206" s="167"/>
      <c r="U206" s="167"/>
    </row>
    <row r="207" spans="1:104" s="6" customFormat="1" x14ac:dyDescent="0.3">
      <c r="B207" s="168"/>
      <c r="C207" s="168"/>
      <c r="D207" s="165">
        <v>2000</v>
      </c>
      <c r="E207" s="168">
        <v>2001</v>
      </c>
      <c r="F207" s="165">
        <v>2002</v>
      </c>
      <c r="G207" s="168">
        <v>2003</v>
      </c>
      <c r="H207" s="165">
        <v>2004</v>
      </c>
      <c r="I207" s="168">
        <v>2005</v>
      </c>
      <c r="J207" s="165">
        <v>2006</v>
      </c>
      <c r="K207" s="168">
        <v>2007</v>
      </c>
      <c r="L207" s="165">
        <v>2008</v>
      </c>
      <c r="M207" s="168">
        <v>2009</v>
      </c>
      <c r="N207" s="165">
        <v>2010</v>
      </c>
      <c r="O207" s="168">
        <v>2011</v>
      </c>
      <c r="P207" s="165">
        <v>2012</v>
      </c>
      <c r="Q207" s="168">
        <v>2013</v>
      </c>
      <c r="R207" s="168">
        <v>2014</v>
      </c>
      <c r="S207" s="168">
        <v>2015</v>
      </c>
      <c r="T207" s="168">
        <v>2016</v>
      </c>
      <c r="U207" s="168">
        <v>2017</v>
      </c>
    </row>
    <row r="208" spans="1:104" s="205" customFormat="1" x14ac:dyDescent="0.3">
      <c r="A208" s="6"/>
      <c r="B208" s="52" t="s">
        <v>492</v>
      </c>
      <c r="C208" s="164"/>
      <c r="D208" s="164">
        <f t="shared" ref="D208:Q208" si="30">D67</f>
        <v>2836000</v>
      </c>
      <c r="E208" s="164">
        <f t="shared" si="30"/>
        <v>0</v>
      </c>
      <c r="F208" s="164">
        <f t="shared" si="30"/>
        <v>0</v>
      </c>
      <c r="G208" s="164">
        <f t="shared" si="30"/>
        <v>4594752</v>
      </c>
      <c r="H208" s="164">
        <f t="shared" si="30"/>
        <v>4563357</v>
      </c>
      <c r="I208" s="164">
        <f t="shared" si="30"/>
        <v>4527517</v>
      </c>
      <c r="J208" s="164">
        <f t="shared" si="30"/>
        <v>5143687</v>
      </c>
      <c r="K208" s="164">
        <f t="shared" si="30"/>
        <v>5723284</v>
      </c>
      <c r="L208" s="164">
        <f t="shared" si="30"/>
        <v>6025122</v>
      </c>
      <c r="M208" s="164">
        <f t="shared" si="30"/>
        <v>6961326</v>
      </c>
      <c r="N208" s="164">
        <f t="shared" si="30"/>
        <v>7329316</v>
      </c>
      <c r="O208" s="164">
        <f t="shared" si="30"/>
        <v>0</v>
      </c>
      <c r="P208" s="164">
        <f t="shared" si="30"/>
        <v>5499133</v>
      </c>
      <c r="Q208" s="164">
        <f t="shared" si="30"/>
        <v>5794387</v>
      </c>
      <c r="R208" s="164">
        <f>R67</f>
        <v>6757215</v>
      </c>
      <c r="S208" s="164">
        <f>S67</f>
        <v>7167328</v>
      </c>
      <c r="T208" s="164">
        <f>T67</f>
        <v>7759980</v>
      </c>
      <c r="U208" s="164">
        <f>U67</f>
        <v>8168560</v>
      </c>
    </row>
    <row r="209" spans="2:104" customFormat="1" ht="33" customHeight="1" x14ac:dyDescent="0.3">
      <c r="B209" s="686" t="s">
        <v>493</v>
      </c>
      <c r="C209" s="686"/>
      <c r="D209" s="686"/>
      <c r="E209" s="686"/>
      <c r="F209" s="686"/>
      <c r="G209" s="686"/>
      <c r="H209" s="686"/>
      <c r="I209" s="68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row>
    <row r="210" spans="2:104" customFormat="1" x14ac:dyDescent="0.3">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row>
    <row r="211" spans="2:104" customFormat="1" x14ac:dyDescent="0.3">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row>
    <row r="212" spans="2:104" customFormat="1" x14ac:dyDescent="0.3">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row>
    <row r="213" spans="2:104" customFormat="1" x14ac:dyDescent="0.3">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row>
    <row r="214" spans="2:104" customFormat="1" x14ac:dyDescent="0.3">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row>
    <row r="215" spans="2:104" customFormat="1" x14ac:dyDescent="0.3">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row>
    <row r="216" spans="2:104" customFormat="1" x14ac:dyDescent="0.3">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row>
    <row r="217" spans="2:104" customFormat="1" x14ac:dyDescent="0.3">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row>
    <row r="218" spans="2:104" customFormat="1" x14ac:dyDescent="0.3">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row>
    <row r="219" spans="2:104" customFormat="1" x14ac:dyDescent="0.3">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row>
    <row r="220" spans="2:104" customFormat="1" x14ac:dyDescent="0.3">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c r="CT220" s="6"/>
      <c r="CU220" s="6"/>
      <c r="CV220" s="6"/>
      <c r="CW220" s="6"/>
      <c r="CX220" s="6"/>
      <c r="CY220" s="6"/>
      <c r="CZ220" s="6"/>
    </row>
    <row r="221" spans="2:104" customFormat="1" x14ac:dyDescent="0.3">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c r="CT221" s="6"/>
      <c r="CU221" s="6"/>
      <c r="CV221" s="6"/>
      <c r="CW221" s="6"/>
      <c r="CX221" s="6"/>
      <c r="CY221" s="6"/>
      <c r="CZ221" s="6"/>
    </row>
    <row r="222" spans="2:104" customFormat="1" x14ac:dyDescent="0.3">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c r="CT222" s="6"/>
      <c r="CU222" s="6"/>
      <c r="CV222" s="6"/>
      <c r="CW222" s="6"/>
      <c r="CX222" s="6"/>
      <c r="CY222" s="6"/>
      <c r="CZ222" s="6"/>
    </row>
    <row r="223" spans="2:104" customFormat="1" x14ac:dyDescent="0.3">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c r="CT223" s="6"/>
      <c r="CU223" s="6"/>
      <c r="CV223" s="6"/>
      <c r="CW223" s="6"/>
      <c r="CX223" s="6"/>
      <c r="CY223" s="6"/>
      <c r="CZ223" s="6"/>
    </row>
    <row r="224" spans="2:104" customFormat="1" x14ac:dyDescent="0.3">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c r="CP224" s="6"/>
      <c r="CQ224" s="6"/>
      <c r="CR224" s="6"/>
      <c r="CS224" s="6"/>
      <c r="CT224" s="6"/>
      <c r="CU224" s="6"/>
      <c r="CV224" s="6"/>
      <c r="CW224" s="6"/>
      <c r="CX224" s="6"/>
      <c r="CY224" s="6"/>
      <c r="CZ224" s="6"/>
    </row>
    <row r="225" spans="21:104" customFormat="1" x14ac:dyDescent="0.3">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c r="CU225" s="6"/>
      <c r="CV225" s="6"/>
      <c r="CW225" s="6"/>
      <c r="CX225" s="6"/>
      <c r="CY225" s="6"/>
      <c r="CZ225" s="6"/>
    </row>
    <row r="226" spans="21:104" customFormat="1" x14ac:dyDescent="0.3">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c r="CT226" s="6"/>
      <c r="CU226" s="6"/>
      <c r="CV226" s="6"/>
      <c r="CW226" s="6"/>
      <c r="CX226" s="6"/>
      <c r="CY226" s="6"/>
      <c r="CZ226" s="6"/>
    </row>
    <row r="227" spans="21:104" customFormat="1" x14ac:dyDescent="0.3">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c r="CU227" s="6"/>
      <c r="CV227" s="6"/>
      <c r="CW227" s="6"/>
      <c r="CX227" s="6"/>
      <c r="CY227" s="6"/>
      <c r="CZ227" s="6"/>
    </row>
    <row r="228" spans="21:104" customFormat="1" x14ac:dyDescent="0.3">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c r="CT228" s="6"/>
      <c r="CU228" s="6"/>
      <c r="CV228" s="6"/>
      <c r="CW228" s="6"/>
      <c r="CX228" s="6"/>
      <c r="CY228" s="6"/>
      <c r="CZ228" s="6"/>
    </row>
    <row r="229" spans="21:104" customFormat="1" x14ac:dyDescent="0.3">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row>
    <row r="230" spans="21:104" customFormat="1" x14ac:dyDescent="0.3">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row>
    <row r="231" spans="21:104" customFormat="1" x14ac:dyDescent="0.3">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row>
    <row r="232" spans="21:104" customFormat="1" x14ac:dyDescent="0.3">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c r="CU232" s="6"/>
      <c r="CV232" s="6"/>
      <c r="CW232" s="6"/>
      <c r="CX232" s="6"/>
      <c r="CY232" s="6"/>
      <c r="CZ232" s="6"/>
    </row>
    <row r="233" spans="21:104" customFormat="1" x14ac:dyDescent="0.3">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c r="CP233" s="6"/>
      <c r="CQ233" s="6"/>
      <c r="CR233" s="6"/>
      <c r="CS233" s="6"/>
      <c r="CT233" s="6"/>
      <c r="CU233" s="6"/>
      <c r="CV233" s="6"/>
      <c r="CW233" s="6"/>
      <c r="CX233" s="6"/>
      <c r="CY233" s="6"/>
      <c r="CZ233" s="6"/>
    </row>
    <row r="234" spans="21:104" customFormat="1" x14ac:dyDescent="0.3">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c r="CT234" s="6"/>
      <c r="CU234" s="6"/>
      <c r="CV234" s="6"/>
      <c r="CW234" s="6"/>
      <c r="CX234" s="6"/>
      <c r="CY234" s="6"/>
      <c r="CZ234" s="6"/>
    </row>
    <row r="235" spans="21:104" customFormat="1" x14ac:dyDescent="0.3">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c r="CP235" s="6"/>
      <c r="CQ235" s="6"/>
      <c r="CR235" s="6"/>
      <c r="CS235" s="6"/>
      <c r="CT235" s="6"/>
      <c r="CU235" s="6"/>
      <c r="CV235" s="6"/>
      <c r="CW235" s="6"/>
      <c r="CX235" s="6"/>
      <c r="CY235" s="6"/>
      <c r="CZ235" s="6"/>
    </row>
    <row r="236" spans="21:104" customFormat="1" x14ac:dyDescent="0.3">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row>
    <row r="237" spans="21:104" customFormat="1" x14ac:dyDescent="0.3">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row>
    <row r="238" spans="21:104" customFormat="1" x14ac:dyDescent="0.3">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c r="CU238" s="6"/>
      <c r="CV238" s="6"/>
      <c r="CW238" s="6"/>
      <c r="CX238" s="6"/>
      <c r="CY238" s="6"/>
      <c r="CZ238" s="6"/>
    </row>
    <row r="239" spans="21:104" customFormat="1" x14ac:dyDescent="0.3">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c r="CT239" s="6"/>
      <c r="CU239" s="6"/>
      <c r="CV239" s="6"/>
      <c r="CW239" s="6"/>
      <c r="CX239" s="6"/>
      <c r="CY239" s="6"/>
      <c r="CZ239" s="6"/>
    </row>
    <row r="240" spans="21:104" customFormat="1" x14ac:dyDescent="0.3">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c r="CP240" s="6"/>
      <c r="CQ240" s="6"/>
      <c r="CR240" s="6"/>
      <c r="CS240" s="6"/>
      <c r="CT240" s="6"/>
      <c r="CU240" s="6"/>
      <c r="CV240" s="6"/>
      <c r="CW240" s="6"/>
      <c r="CX240" s="6"/>
      <c r="CY240" s="6"/>
      <c r="CZ240" s="6"/>
    </row>
    <row r="241" spans="21:104" customFormat="1" x14ac:dyDescent="0.3">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c r="CT241" s="6"/>
      <c r="CU241" s="6"/>
      <c r="CV241" s="6"/>
      <c r="CW241" s="6"/>
      <c r="CX241" s="6"/>
      <c r="CY241" s="6"/>
      <c r="CZ241" s="6"/>
    </row>
    <row r="242" spans="21:104" customFormat="1" x14ac:dyDescent="0.3">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c r="CP242" s="6"/>
      <c r="CQ242" s="6"/>
      <c r="CR242" s="6"/>
      <c r="CS242" s="6"/>
      <c r="CT242" s="6"/>
      <c r="CU242" s="6"/>
      <c r="CV242" s="6"/>
      <c r="CW242" s="6"/>
      <c r="CX242" s="6"/>
      <c r="CY242" s="6"/>
      <c r="CZ242" s="6"/>
    </row>
    <row r="243" spans="21:104" customFormat="1" x14ac:dyDescent="0.3">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c r="CP243" s="6"/>
      <c r="CQ243" s="6"/>
      <c r="CR243" s="6"/>
      <c r="CS243" s="6"/>
      <c r="CT243" s="6"/>
      <c r="CU243" s="6"/>
      <c r="CV243" s="6"/>
      <c r="CW243" s="6"/>
      <c r="CX243" s="6"/>
      <c r="CY243" s="6"/>
      <c r="CZ243" s="6"/>
    </row>
    <row r="244" spans="21:104" customFormat="1" x14ac:dyDescent="0.3">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c r="CU244" s="6"/>
      <c r="CV244" s="6"/>
      <c r="CW244" s="6"/>
      <c r="CX244" s="6"/>
      <c r="CY244" s="6"/>
      <c r="CZ244" s="6"/>
    </row>
    <row r="245" spans="21:104" customFormat="1" x14ac:dyDescent="0.3">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row>
    <row r="246" spans="21:104" customFormat="1" x14ac:dyDescent="0.3">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row>
    <row r="247" spans="21:104" customFormat="1" x14ac:dyDescent="0.3">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c r="CP247" s="6"/>
      <c r="CQ247" s="6"/>
      <c r="CR247" s="6"/>
      <c r="CS247" s="6"/>
      <c r="CT247" s="6"/>
      <c r="CU247" s="6"/>
      <c r="CV247" s="6"/>
      <c r="CW247" s="6"/>
      <c r="CX247" s="6"/>
      <c r="CY247" s="6"/>
      <c r="CZ247" s="6"/>
    </row>
    <row r="248" spans="21:104" customFormat="1" x14ac:dyDescent="0.3">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c r="CP248" s="6"/>
      <c r="CQ248" s="6"/>
      <c r="CR248" s="6"/>
      <c r="CS248" s="6"/>
      <c r="CT248" s="6"/>
      <c r="CU248" s="6"/>
      <c r="CV248" s="6"/>
      <c r="CW248" s="6"/>
      <c r="CX248" s="6"/>
      <c r="CY248" s="6"/>
      <c r="CZ248" s="6"/>
    </row>
    <row r="249" spans="21:104" customFormat="1" x14ac:dyDescent="0.3">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c r="CP249" s="6"/>
      <c r="CQ249" s="6"/>
      <c r="CR249" s="6"/>
      <c r="CS249" s="6"/>
      <c r="CT249" s="6"/>
      <c r="CU249" s="6"/>
      <c r="CV249" s="6"/>
      <c r="CW249" s="6"/>
      <c r="CX249" s="6"/>
      <c r="CY249" s="6"/>
      <c r="CZ249" s="6"/>
    </row>
    <row r="250" spans="21:104" customFormat="1" x14ac:dyDescent="0.3">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row>
    <row r="251" spans="21:104" customFormat="1" x14ac:dyDescent="0.3">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row>
    <row r="252" spans="21:104" customFormat="1" x14ac:dyDescent="0.3">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c r="CU252" s="6"/>
      <c r="CV252" s="6"/>
      <c r="CW252" s="6"/>
      <c r="CX252" s="6"/>
      <c r="CY252" s="6"/>
      <c r="CZ252" s="6"/>
    </row>
    <row r="253" spans="21:104" customFormat="1" x14ac:dyDescent="0.3">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6"/>
      <c r="CY253" s="6"/>
      <c r="CZ253" s="6"/>
    </row>
    <row r="254" spans="21:104" customFormat="1" x14ac:dyDescent="0.3">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row>
    <row r="255" spans="21:104" customFormat="1" x14ac:dyDescent="0.3">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row>
    <row r="256" spans="21:104" customFormat="1" x14ac:dyDescent="0.3">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c r="CT256" s="6"/>
      <c r="CU256" s="6"/>
      <c r="CV256" s="6"/>
      <c r="CW256" s="6"/>
      <c r="CX256" s="6"/>
      <c r="CY256" s="6"/>
      <c r="CZ256" s="6"/>
    </row>
    <row r="257" spans="21:104" customFormat="1" x14ac:dyDescent="0.3">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row>
    <row r="258" spans="21:104" customFormat="1" x14ac:dyDescent="0.3">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c r="CU258" s="6"/>
      <c r="CV258" s="6"/>
      <c r="CW258" s="6"/>
      <c r="CX258" s="6"/>
      <c r="CY258" s="6"/>
      <c r="CZ258" s="6"/>
    </row>
    <row r="259" spans="21:104" customFormat="1" x14ac:dyDescent="0.3">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c r="CU259" s="6"/>
      <c r="CV259" s="6"/>
      <c r="CW259" s="6"/>
      <c r="CX259" s="6"/>
      <c r="CY259" s="6"/>
      <c r="CZ259" s="6"/>
    </row>
    <row r="260" spans="21:104" customFormat="1" x14ac:dyDescent="0.3">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row>
    <row r="261" spans="21:104" customFormat="1" x14ac:dyDescent="0.3">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row>
    <row r="262" spans="21:104" customFormat="1" x14ac:dyDescent="0.3">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row>
    <row r="263" spans="21:104" customFormat="1" x14ac:dyDescent="0.3">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c r="CU263" s="6"/>
      <c r="CV263" s="6"/>
      <c r="CW263" s="6"/>
      <c r="CX263" s="6"/>
      <c r="CY263" s="6"/>
      <c r="CZ263" s="6"/>
    </row>
    <row r="264" spans="21:104" customFormat="1" x14ac:dyDescent="0.3">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c r="CY264" s="6"/>
      <c r="CZ264" s="6"/>
    </row>
    <row r="265" spans="21:104" customFormat="1" x14ac:dyDescent="0.3">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c r="CY265" s="6"/>
      <c r="CZ265" s="6"/>
    </row>
    <row r="266" spans="21:104" customFormat="1" x14ac:dyDescent="0.3">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c r="CY266" s="6"/>
      <c r="CZ266" s="6"/>
    </row>
    <row r="267" spans="21:104" customFormat="1" x14ac:dyDescent="0.3">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c r="CY267" s="6"/>
      <c r="CZ267" s="6"/>
    </row>
    <row r="268" spans="21:104" customFormat="1" x14ac:dyDescent="0.3">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c r="CY268" s="6"/>
      <c r="CZ268" s="6"/>
    </row>
    <row r="269" spans="21:104" customFormat="1" x14ac:dyDescent="0.3">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c r="CY269" s="6"/>
      <c r="CZ269" s="6"/>
    </row>
    <row r="270" spans="21:104" customFormat="1" x14ac:dyDescent="0.3">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row>
    <row r="271" spans="21:104" customFormat="1" x14ac:dyDescent="0.3">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c r="CY271" s="6"/>
      <c r="CZ271" s="6"/>
    </row>
    <row r="272" spans="21:104" customFormat="1" x14ac:dyDescent="0.3">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row>
    <row r="273" spans="21:104" customFormat="1" x14ac:dyDescent="0.3">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c r="CY273" s="6"/>
      <c r="CZ273" s="6"/>
    </row>
    <row r="274" spans="21:104" customFormat="1" x14ac:dyDescent="0.3">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c r="CY274" s="6"/>
      <c r="CZ274" s="6"/>
    </row>
    <row r="275" spans="21:104" customFormat="1" x14ac:dyDescent="0.3">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c r="CY275" s="6"/>
      <c r="CZ275" s="6"/>
    </row>
    <row r="276" spans="21:104" customFormat="1" x14ac:dyDescent="0.3">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row>
    <row r="277" spans="21:104" customFormat="1" x14ac:dyDescent="0.3">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c r="CY277" s="6"/>
      <c r="CZ277" s="6"/>
    </row>
    <row r="278" spans="21:104" customFormat="1" x14ac:dyDescent="0.3">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c r="CY278" s="6"/>
      <c r="CZ278" s="6"/>
    </row>
    <row r="279" spans="21:104" customFormat="1" x14ac:dyDescent="0.3">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c r="CY279" s="6"/>
      <c r="CZ279" s="6"/>
    </row>
    <row r="280" spans="21:104" customFormat="1" x14ac:dyDescent="0.3">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c r="CY280" s="6"/>
      <c r="CZ280" s="6"/>
    </row>
    <row r="281" spans="21:104" customFormat="1" x14ac:dyDescent="0.3">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c r="CY281" s="6"/>
      <c r="CZ281" s="6"/>
    </row>
    <row r="282" spans="21:104" customFormat="1" x14ac:dyDescent="0.3">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c r="CY282" s="6"/>
      <c r="CZ282" s="6"/>
    </row>
    <row r="283" spans="21:104" customFormat="1" x14ac:dyDescent="0.3">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c r="CY283" s="6"/>
      <c r="CZ283" s="6"/>
    </row>
    <row r="284" spans="21:104" customFormat="1" x14ac:dyDescent="0.3">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c r="CY284" s="6"/>
      <c r="CZ284" s="6"/>
    </row>
    <row r="285" spans="21:104" customFormat="1" x14ac:dyDescent="0.3">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c r="CP285" s="6"/>
      <c r="CQ285" s="6"/>
      <c r="CR285" s="6"/>
      <c r="CS285" s="6"/>
      <c r="CT285" s="6"/>
      <c r="CU285" s="6"/>
      <c r="CV285" s="6"/>
      <c r="CW285" s="6"/>
      <c r="CX285" s="6"/>
      <c r="CY285" s="6"/>
      <c r="CZ285" s="6"/>
    </row>
    <row r="286" spans="21:104" customFormat="1" x14ac:dyDescent="0.3">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row>
    <row r="287" spans="21:104" customFormat="1" x14ac:dyDescent="0.3">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c r="CY287" s="6"/>
      <c r="CZ287" s="6"/>
    </row>
    <row r="288" spans="21:104" customFormat="1" x14ac:dyDescent="0.3">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c r="CY288" s="6"/>
      <c r="CZ288" s="6"/>
    </row>
    <row r="289" spans="21:104" customFormat="1" x14ac:dyDescent="0.3">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c r="CY289" s="6"/>
      <c r="CZ289" s="6"/>
    </row>
    <row r="290" spans="21:104" customFormat="1" x14ac:dyDescent="0.3">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c r="CY290" s="6"/>
      <c r="CZ290" s="6"/>
    </row>
    <row r="291" spans="21:104" customFormat="1" x14ac:dyDescent="0.3">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c r="CY291" s="6"/>
      <c r="CZ291" s="6"/>
    </row>
    <row r="292" spans="21:104" customFormat="1" x14ac:dyDescent="0.3">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c r="CY292" s="6"/>
      <c r="CZ292" s="6"/>
    </row>
    <row r="293" spans="21:104" customFormat="1" x14ac:dyDescent="0.3">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c r="CY293" s="6"/>
      <c r="CZ293" s="6"/>
    </row>
    <row r="294" spans="21:104" customFormat="1" x14ac:dyDescent="0.3">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c r="CY294" s="6"/>
      <c r="CZ294" s="6"/>
    </row>
    <row r="295" spans="21:104" customFormat="1" x14ac:dyDescent="0.3">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c r="CY295" s="6"/>
      <c r="CZ295" s="6"/>
    </row>
    <row r="296" spans="21:104" customFormat="1" x14ac:dyDescent="0.3">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c r="CY296" s="6"/>
      <c r="CZ296" s="6"/>
    </row>
    <row r="297" spans="21:104" customFormat="1" x14ac:dyDescent="0.3">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c r="CY297" s="6"/>
      <c r="CZ297" s="6"/>
    </row>
    <row r="298" spans="21:104" customFormat="1" x14ac:dyDescent="0.3">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row>
    <row r="299" spans="21:104" customFormat="1" x14ac:dyDescent="0.3">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c r="CP299" s="6"/>
      <c r="CQ299" s="6"/>
      <c r="CR299" s="6"/>
      <c r="CS299" s="6"/>
      <c r="CT299" s="6"/>
      <c r="CU299" s="6"/>
      <c r="CV299" s="6"/>
      <c r="CW299" s="6"/>
      <c r="CX299" s="6"/>
      <c r="CY299" s="6"/>
      <c r="CZ299" s="6"/>
    </row>
    <row r="300" spans="21:104" customFormat="1" x14ac:dyDescent="0.3">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c r="CO300" s="6"/>
      <c r="CP300" s="6"/>
      <c r="CQ300" s="6"/>
      <c r="CR300" s="6"/>
      <c r="CS300" s="6"/>
      <c r="CT300" s="6"/>
      <c r="CU300" s="6"/>
      <c r="CV300" s="6"/>
      <c r="CW300" s="6"/>
      <c r="CX300" s="6"/>
      <c r="CY300" s="6"/>
      <c r="CZ300" s="6"/>
    </row>
    <row r="301" spans="21:104" customFormat="1" x14ac:dyDescent="0.3">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c r="CT301" s="6"/>
      <c r="CU301" s="6"/>
      <c r="CV301" s="6"/>
      <c r="CW301" s="6"/>
      <c r="CX301" s="6"/>
      <c r="CY301" s="6"/>
      <c r="CZ301" s="6"/>
    </row>
    <row r="302" spans="21:104" customFormat="1" x14ac:dyDescent="0.3">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c r="CY302" s="6"/>
      <c r="CZ302" s="6"/>
    </row>
    <row r="303" spans="21:104" customFormat="1" x14ac:dyDescent="0.3">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c r="CU303" s="6"/>
      <c r="CV303" s="6"/>
      <c r="CW303" s="6"/>
      <c r="CX303" s="6"/>
      <c r="CY303" s="6"/>
      <c r="CZ303" s="6"/>
    </row>
    <row r="304" spans="21:104" customFormat="1" x14ac:dyDescent="0.3">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c r="CY304" s="6"/>
      <c r="CZ304" s="6"/>
    </row>
    <row r="305" spans="21:104" customFormat="1" x14ac:dyDescent="0.3">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c r="CU305" s="6"/>
      <c r="CV305" s="6"/>
      <c r="CW305" s="6"/>
      <c r="CX305" s="6"/>
      <c r="CY305" s="6"/>
      <c r="CZ305" s="6"/>
    </row>
    <row r="306" spans="21:104" customFormat="1" x14ac:dyDescent="0.3">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c r="CU306" s="6"/>
      <c r="CV306" s="6"/>
      <c r="CW306" s="6"/>
      <c r="CX306" s="6"/>
      <c r="CY306" s="6"/>
      <c r="CZ306" s="6"/>
    </row>
    <row r="307" spans="21:104" customFormat="1" x14ac:dyDescent="0.3">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c r="CP307" s="6"/>
      <c r="CQ307" s="6"/>
      <c r="CR307" s="6"/>
      <c r="CS307" s="6"/>
      <c r="CT307" s="6"/>
      <c r="CU307" s="6"/>
      <c r="CV307" s="6"/>
      <c r="CW307" s="6"/>
      <c r="CX307" s="6"/>
      <c r="CY307" s="6"/>
      <c r="CZ307" s="6"/>
    </row>
    <row r="308" spans="21:104" customFormat="1" x14ac:dyDescent="0.3">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c r="CO308" s="6"/>
      <c r="CP308" s="6"/>
      <c r="CQ308" s="6"/>
      <c r="CR308" s="6"/>
      <c r="CS308" s="6"/>
      <c r="CT308" s="6"/>
      <c r="CU308" s="6"/>
      <c r="CV308" s="6"/>
      <c r="CW308" s="6"/>
      <c r="CX308" s="6"/>
      <c r="CY308" s="6"/>
      <c r="CZ308" s="6"/>
    </row>
    <row r="309" spans="21:104" customFormat="1" x14ac:dyDescent="0.3">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c r="CO309" s="6"/>
      <c r="CP309" s="6"/>
      <c r="CQ309" s="6"/>
      <c r="CR309" s="6"/>
      <c r="CS309" s="6"/>
      <c r="CT309" s="6"/>
      <c r="CU309" s="6"/>
      <c r="CV309" s="6"/>
      <c r="CW309" s="6"/>
      <c r="CX309" s="6"/>
      <c r="CY309" s="6"/>
      <c r="CZ309" s="6"/>
    </row>
    <row r="310" spans="21:104" customFormat="1" x14ac:dyDescent="0.3">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c r="CY310" s="6"/>
      <c r="CZ310" s="6"/>
    </row>
    <row r="311" spans="21:104" customFormat="1" x14ac:dyDescent="0.3">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c r="CY311" s="6"/>
      <c r="CZ311" s="6"/>
    </row>
    <row r="312" spans="21:104" customFormat="1" x14ac:dyDescent="0.3">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c r="CU312" s="6"/>
      <c r="CV312" s="6"/>
      <c r="CW312" s="6"/>
      <c r="CX312" s="6"/>
      <c r="CY312" s="6"/>
      <c r="CZ312" s="6"/>
    </row>
    <row r="313" spans="21:104" customFormat="1" x14ac:dyDescent="0.3">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c r="CP313" s="6"/>
      <c r="CQ313" s="6"/>
      <c r="CR313" s="6"/>
      <c r="CS313" s="6"/>
      <c r="CT313" s="6"/>
      <c r="CU313" s="6"/>
      <c r="CV313" s="6"/>
      <c r="CW313" s="6"/>
      <c r="CX313" s="6"/>
      <c r="CY313" s="6"/>
      <c r="CZ313" s="6"/>
    </row>
    <row r="314" spans="21:104" customFormat="1" x14ac:dyDescent="0.3">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c r="CP314" s="6"/>
      <c r="CQ314" s="6"/>
      <c r="CR314" s="6"/>
      <c r="CS314" s="6"/>
      <c r="CT314" s="6"/>
      <c r="CU314" s="6"/>
      <c r="CV314" s="6"/>
      <c r="CW314" s="6"/>
      <c r="CX314" s="6"/>
      <c r="CY314" s="6"/>
      <c r="CZ314" s="6"/>
    </row>
    <row r="315" spans="21:104" customFormat="1" x14ac:dyDescent="0.3">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c r="CP315" s="6"/>
      <c r="CQ315" s="6"/>
      <c r="CR315" s="6"/>
      <c r="CS315" s="6"/>
      <c r="CT315" s="6"/>
      <c r="CU315" s="6"/>
      <c r="CV315" s="6"/>
      <c r="CW315" s="6"/>
      <c r="CX315" s="6"/>
      <c r="CY315" s="6"/>
      <c r="CZ315" s="6"/>
    </row>
    <row r="316" spans="21:104" customFormat="1" x14ac:dyDescent="0.3">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c r="CT316" s="6"/>
      <c r="CU316" s="6"/>
      <c r="CV316" s="6"/>
      <c r="CW316" s="6"/>
      <c r="CX316" s="6"/>
      <c r="CY316" s="6"/>
      <c r="CZ316" s="6"/>
    </row>
    <row r="317" spans="21:104" customFormat="1" x14ac:dyDescent="0.3">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c r="CY317" s="6"/>
      <c r="CZ317" s="6"/>
    </row>
    <row r="318" spans="21:104" customFormat="1" x14ac:dyDescent="0.3">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c r="CY318" s="6"/>
      <c r="CZ318" s="6"/>
    </row>
    <row r="319" spans="21:104" customFormat="1" x14ac:dyDescent="0.3">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c r="CU319" s="6"/>
      <c r="CV319" s="6"/>
      <c r="CW319" s="6"/>
      <c r="CX319" s="6"/>
      <c r="CY319" s="6"/>
      <c r="CZ319" s="6"/>
    </row>
    <row r="320" spans="21:104" customFormat="1" x14ac:dyDescent="0.3">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c r="CU320" s="6"/>
      <c r="CV320" s="6"/>
      <c r="CW320" s="6"/>
      <c r="CX320" s="6"/>
      <c r="CY320" s="6"/>
      <c r="CZ320" s="6"/>
    </row>
    <row r="321" spans="21:104" customFormat="1" x14ac:dyDescent="0.3">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c r="CY321" s="6"/>
      <c r="CZ321" s="6"/>
    </row>
    <row r="322" spans="21:104" customFormat="1" x14ac:dyDescent="0.3">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c r="CY322" s="6"/>
      <c r="CZ322" s="6"/>
    </row>
    <row r="323" spans="21:104" customFormat="1" x14ac:dyDescent="0.3">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c r="CY323" s="6"/>
      <c r="CZ323" s="6"/>
    </row>
    <row r="324" spans="21:104" customFormat="1" x14ac:dyDescent="0.3">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c r="CY324" s="6"/>
      <c r="CZ324" s="6"/>
    </row>
    <row r="325" spans="21:104" customFormat="1" x14ac:dyDescent="0.3">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c r="CS325" s="6"/>
      <c r="CT325" s="6"/>
      <c r="CU325" s="6"/>
      <c r="CV325" s="6"/>
      <c r="CW325" s="6"/>
      <c r="CX325" s="6"/>
      <c r="CY325" s="6"/>
      <c r="CZ325" s="6"/>
    </row>
    <row r="326" spans="21:104" customFormat="1" x14ac:dyDescent="0.3">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c r="CT326" s="6"/>
      <c r="CU326" s="6"/>
      <c r="CV326" s="6"/>
      <c r="CW326" s="6"/>
      <c r="CX326" s="6"/>
      <c r="CY326" s="6"/>
      <c r="CZ326" s="6"/>
    </row>
    <row r="327" spans="21:104" customFormat="1" x14ac:dyDescent="0.3">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c r="CS327" s="6"/>
      <c r="CT327" s="6"/>
      <c r="CU327" s="6"/>
      <c r="CV327" s="6"/>
      <c r="CW327" s="6"/>
      <c r="CX327" s="6"/>
      <c r="CY327" s="6"/>
      <c r="CZ327" s="6"/>
    </row>
    <row r="328" spans="21:104" customFormat="1" x14ac:dyDescent="0.3">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c r="CS328" s="6"/>
      <c r="CT328" s="6"/>
      <c r="CU328" s="6"/>
      <c r="CV328" s="6"/>
      <c r="CW328" s="6"/>
      <c r="CX328" s="6"/>
      <c r="CY328" s="6"/>
      <c r="CZ328" s="6"/>
    </row>
    <row r="329" spans="21:104" customFormat="1" x14ac:dyDescent="0.3">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c r="CT329" s="6"/>
      <c r="CU329" s="6"/>
      <c r="CV329" s="6"/>
      <c r="CW329" s="6"/>
      <c r="CX329" s="6"/>
      <c r="CY329" s="6"/>
      <c r="CZ329" s="6"/>
    </row>
    <row r="330" spans="21:104" customFormat="1" x14ac:dyDescent="0.3">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c r="CS330" s="6"/>
      <c r="CT330" s="6"/>
      <c r="CU330" s="6"/>
      <c r="CV330" s="6"/>
      <c r="CW330" s="6"/>
      <c r="CX330" s="6"/>
      <c r="CY330" s="6"/>
      <c r="CZ330" s="6"/>
    </row>
    <row r="331" spans="21:104" customFormat="1" x14ac:dyDescent="0.3">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c r="CS331" s="6"/>
      <c r="CT331" s="6"/>
      <c r="CU331" s="6"/>
      <c r="CV331" s="6"/>
      <c r="CW331" s="6"/>
      <c r="CX331" s="6"/>
      <c r="CY331" s="6"/>
      <c r="CZ331" s="6"/>
    </row>
    <row r="332" spans="21:104" customFormat="1" x14ac:dyDescent="0.3">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c r="CP332" s="6"/>
      <c r="CQ332" s="6"/>
      <c r="CR332" s="6"/>
      <c r="CS332" s="6"/>
      <c r="CT332" s="6"/>
      <c r="CU332" s="6"/>
      <c r="CV332" s="6"/>
      <c r="CW332" s="6"/>
      <c r="CX332" s="6"/>
      <c r="CY332" s="6"/>
      <c r="CZ332" s="6"/>
    </row>
    <row r="333" spans="21:104" customFormat="1" x14ac:dyDescent="0.3">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c r="CP333" s="6"/>
      <c r="CQ333" s="6"/>
      <c r="CR333" s="6"/>
      <c r="CS333" s="6"/>
      <c r="CT333" s="6"/>
      <c r="CU333" s="6"/>
      <c r="CV333" s="6"/>
      <c r="CW333" s="6"/>
      <c r="CX333" s="6"/>
      <c r="CY333" s="6"/>
      <c r="CZ333" s="6"/>
    </row>
    <row r="334" spans="21:104" customFormat="1" x14ac:dyDescent="0.3">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c r="CS334" s="6"/>
      <c r="CT334" s="6"/>
      <c r="CU334" s="6"/>
      <c r="CV334" s="6"/>
      <c r="CW334" s="6"/>
      <c r="CX334" s="6"/>
      <c r="CY334" s="6"/>
      <c r="CZ334" s="6"/>
    </row>
    <row r="335" spans="21:104" customFormat="1" x14ac:dyDescent="0.3">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c r="CP335" s="6"/>
      <c r="CQ335" s="6"/>
      <c r="CR335" s="6"/>
      <c r="CS335" s="6"/>
      <c r="CT335" s="6"/>
      <c r="CU335" s="6"/>
      <c r="CV335" s="6"/>
      <c r="CW335" s="6"/>
      <c r="CX335" s="6"/>
      <c r="CY335" s="6"/>
      <c r="CZ335" s="6"/>
    </row>
    <row r="336" spans="21:104" customFormat="1" x14ac:dyDescent="0.3">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c r="CP336" s="6"/>
      <c r="CQ336" s="6"/>
      <c r="CR336" s="6"/>
      <c r="CS336" s="6"/>
      <c r="CT336" s="6"/>
      <c r="CU336" s="6"/>
      <c r="CV336" s="6"/>
      <c r="CW336" s="6"/>
      <c r="CX336" s="6"/>
      <c r="CY336" s="6"/>
      <c r="CZ336" s="6"/>
    </row>
    <row r="337" spans="21:104" customFormat="1" x14ac:dyDescent="0.3">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c r="CP337" s="6"/>
      <c r="CQ337" s="6"/>
      <c r="CR337" s="6"/>
      <c r="CS337" s="6"/>
      <c r="CT337" s="6"/>
      <c r="CU337" s="6"/>
      <c r="CV337" s="6"/>
      <c r="CW337" s="6"/>
      <c r="CX337" s="6"/>
      <c r="CY337" s="6"/>
      <c r="CZ337" s="6"/>
    </row>
    <row r="338" spans="21:104" customFormat="1" x14ac:dyDescent="0.3">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c r="CP338" s="6"/>
      <c r="CQ338" s="6"/>
      <c r="CR338" s="6"/>
      <c r="CS338" s="6"/>
      <c r="CT338" s="6"/>
      <c r="CU338" s="6"/>
      <c r="CV338" s="6"/>
      <c r="CW338" s="6"/>
      <c r="CX338" s="6"/>
      <c r="CY338" s="6"/>
      <c r="CZ338" s="6"/>
    </row>
    <row r="339" spans="21:104" customFormat="1" x14ac:dyDescent="0.3">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c r="CS339" s="6"/>
      <c r="CT339" s="6"/>
      <c r="CU339" s="6"/>
      <c r="CV339" s="6"/>
      <c r="CW339" s="6"/>
      <c r="CX339" s="6"/>
      <c r="CY339" s="6"/>
      <c r="CZ339" s="6"/>
    </row>
    <row r="340" spans="21:104" customFormat="1" x14ac:dyDescent="0.3">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c r="CS340" s="6"/>
      <c r="CT340" s="6"/>
      <c r="CU340" s="6"/>
      <c r="CV340" s="6"/>
      <c r="CW340" s="6"/>
      <c r="CX340" s="6"/>
      <c r="CY340" s="6"/>
      <c r="CZ340" s="6"/>
    </row>
    <row r="341" spans="21:104" customFormat="1" x14ac:dyDescent="0.3">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c r="CP341" s="6"/>
      <c r="CQ341" s="6"/>
      <c r="CR341" s="6"/>
      <c r="CS341" s="6"/>
      <c r="CT341" s="6"/>
      <c r="CU341" s="6"/>
      <c r="CV341" s="6"/>
      <c r="CW341" s="6"/>
      <c r="CX341" s="6"/>
      <c r="CY341" s="6"/>
      <c r="CZ341" s="6"/>
    </row>
    <row r="342" spans="21:104" customFormat="1" x14ac:dyDescent="0.3">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c r="CT342" s="6"/>
      <c r="CU342" s="6"/>
      <c r="CV342" s="6"/>
      <c r="CW342" s="6"/>
      <c r="CX342" s="6"/>
      <c r="CY342" s="6"/>
      <c r="CZ342" s="6"/>
    </row>
    <row r="343" spans="21:104" customFormat="1" x14ac:dyDescent="0.3">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c r="CP343" s="6"/>
      <c r="CQ343" s="6"/>
      <c r="CR343" s="6"/>
      <c r="CS343" s="6"/>
      <c r="CT343" s="6"/>
      <c r="CU343" s="6"/>
      <c r="CV343" s="6"/>
      <c r="CW343" s="6"/>
      <c r="CX343" s="6"/>
      <c r="CY343" s="6"/>
      <c r="CZ343" s="6"/>
    </row>
    <row r="344" spans="21:104" customFormat="1" x14ac:dyDescent="0.3">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c r="CP344" s="6"/>
      <c r="CQ344" s="6"/>
      <c r="CR344" s="6"/>
      <c r="CS344" s="6"/>
      <c r="CT344" s="6"/>
      <c r="CU344" s="6"/>
      <c r="CV344" s="6"/>
      <c r="CW344" s="6"/>
      <c r="CX344" s="6"/>
      <c r="CY344" s="6"/>
      <c r="CZ344" s="6"/>
    </row>
    <row r="345" spans="21:104" customFormat="1" x14ac:dyDescent="0.3">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c r="CP345" s="6"/>
      <c r="CQ345" s="6"/>
      <c r="CR345" s="6"/>
      <c r="CS345" s="6"/>
      <c r="CT345" s="6"/>
      <c r="CU345" s="6"/>
      <c r="CV345" s="6"/>
      <c r="CW345" s="6"/>
      <c r="CX345" s="6"/>
      <c r="CY345" s="6"/>
      <c r="CZ345" s="6"/>
    </row>
    <row r="346" spans="21:104" customFormat="1" x14ac:dyDescent="0.3">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c r="CP346" s="6"/>
      <c r="CQ346" s="6"/>
      <c r="CR346" s="6"/>
      <c r="CS346" s="6"/>
      <c r="CT346" s="6"/>
      <c r="CU346" s="6"/>
      <c r="CV346" s="6"/>
      <c r="CW346" s="6"/>
      <c r="CX346" s="6"/>
      <c r="CY346" s="6"/>
      <c r="CZ346" s="6"/>
    </row>
    <row r="347" spans="21:104" customFormat="1" x14ac:dyDescent="0.3">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c r="CP347" s="6"/>
      <c r="CQ347" s="6"/>
      <c r="CR347" s="6"/>
      <c r="CS347" s="6"/>
      <c r="CT347" s="6"/>
      <c r="CU347" s="6"/>
      <c r="CV347" s="6"/>
      <c r="CW347" s="6"/>
      <c r="CX347" s="6"/>
      <c r="CY347" s="6"/>
      <c r="CZ347" s="6"/>
    </row>
    <row r="348" spans="21:104" customFormat="1" x14ac:dyDescent="0.3">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c r="CP348" s="6"/>
      <c r="CQ348" s="6"/>
      <c r="CR348" s="6"/>
      <c r="CS348" s="6"/>
      <c r="CT348" s="6"/>
      <c r="CU348" s="6"/>
      <c r="CV348" s="6"/>
      <c r="CW348" s="6"/>
      <c r="CX348" s="6"/>
      <c r="CY348" s="6"/>
      <c r="CZ348" s="6"/>
    </row>
    <row r="349" spans="21:104" customFormat="1" x14ac:dyDescent="0.3">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c r="CP349" s="6"/>
      <c r="CQ349" s="6"/>
      <c r="CR349" s="6"/>
      <c r="CS349" s="6"/>
      <c r="CT349" s="6"/>
      <c r="CU349" s="6"/>
      <c r="CV349" s="6"/>
      <c r="CW349" s="6"/>
      <c r="CX349" s="6"/>
      <c r="CY349" s="6"/>
      <c r="CZ349" s="6"/>
    </row>
    <row r="350" spans="21:104" customFormat="1" x14ac:dyDescent="0.3">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c r="CP350" s="6"/>
      <c r="CQ350" s="6"/>
      <c r="CR350" s="6"/>
      <c r="CS350" s="6"/>
      <c r="CT350" s="6"/>
      <c r="CU350" s="6"/>
      <c r="CV350" s="6"/>
      <c r="CW350" s="6"/>
      <c r="CX350" s="6"/>
      <c r="CY350" s="6"/>
      <c r="CZ350" s="6"/>
    </row>
    <row r="351" spans="21:104" customFormat="1" x14ac:dyDescent="0.3">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c r="CP351" s="6"/>
      <c r="CQ351" s="6"/>
      <c r="CR351" s="6"/>
      <c r="CS351" s="6"/>
      <c r="CT351" s="6"/>
      <c r="CU351" s="6"/>
      <c r="CV351" s="6"/>
      <c r="CW351" s="6"/>
      <c r="CX351" s="6"/>
      <c r="CY351" s="6"/>
      <c r="CZ351" s="6"/>
    </row>
    <row r="352" spans="21:104" customFormat="1" x14ac:dyDescent="0.3">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c r="CP352" s="6"/>
      <c r="CQ352" s="6"/>
      <c r="CR352" s="6"/>
      <c r="CS352" s="6"/>
      <c r="CT352" s="6"/>
      <c r="CU352" s="6"/>
      <c r="CV352" s="6"/>
      <c r="CW352" s="6"/>
      <c r="CX352" s="6"/>
      <c r="CY352" s="6"/>
      <c r="CZ352" s="6"/>
    </row>
    <row r="353" spans="21:104" customFormat="1" x14ac:dyDescent="0.3">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c r="CP353" s="6"/>
      <c r="CQ353" s="6"/>
      <c r="CR353" s="6"/>
      <c r="CS353" s="6"/>
      <c r="CT353" s="6"/>
      <c r="CU353" s="6"/>
      <c r="CV353" s="6"/>
      <c r="CW353" s="6"/>
      <c r="CX353" s="6"/>
      <c r="CY353" s="6"/>
      <c r="CZ353" s="6"/>
    </row>
    <row r="354" spans="21:104" customFormat="1" x14ac:dyDescent="0.3">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c r="CP354" s="6"/>
      <c r="CQ354" s="6"/>
      <c r="CR354" s="6"/>
      <c r="CS354" s="6"/>
      <c r="CT354" s="6"/>
      <c r="CU354" s="6"/>
      <c r="CV354" s="6"/>
      <c r="CW354" s="6"/>
      <c r="CX354" s="6"/>
      <c r="CY354" s="6"/>
      <c r="CZ354" s="6"/>
    </row>
    <row r="355" spans="21:104" customFormat="1" x14ac:dyDescent="0.3">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c r="CP355" s="6"/>
      <c r="CQ355" s="6"/>
      <c r="CR355" s="6"/>
      <c r="CS355" s="6"/>
      <c r="CT355" s="6"/>
      <c r="CU355" s="6"/>
      <c r="CV355" s="6"/>
      <c r="CW355" s="6"/>
      <c r="CX355" s="6"/>
      <c r="CY355" s="6"/>
      <c r="CZ355" s="6"/>
    </row>
    <row r="356" spans="21:104" customFormat="1" x14ac:dyDescent="0.3">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c r="CP356" s="6"/>
      <c r="CQ356" s="6"/>
      <c r="CR356" s="6"/>
      <c r="CS356" s="6"/>
      <c r="CT356" s="6"/>
      <c r="CU356" s="6"/>
      <c r="CV356" s="6"/>
      <c r="CW356" s="6"/>
      <c r="CX356" s="6"/>
      <c r="CY356" s="6"/>
      <c r="CZ356" s="6"/>
    </row>
    <row r="357" spans="21:104" customFormat="1" x14ac:dyDescent="0.3">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c r="CP357" s="6"/>
      <c r="CQ357" s="6"/>
      <c r="CR357" s="6"/>
      <c r="CS357" s="6"/>
      <c r="CT357" s="6"/>
      <c r="CU357" s="6"/>
      <c r="CV357" s="6"/>
      <c r="CW357" s="6"/>
      <c r="CX357" s="6"/>
      <c r="CY357" s="6"/>
      <c r="CZ357" s="6"/>
    </row>
    <row r="358" spans="21:104" customFormat="1" x14ac:dyDescent="0.3">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c r="CT358" s="6"/>
      <c r="CU358" s="6"/>
      <c r="CV358" s="6"/>
      <c r="CW358" s="6"/>
      <c r="CX358" s="6"/>
      <c r="CY358" s="6"/>
      <c r="CZ358" s="6"/>
    </row>
    <row r="359" spans="21:104" customFormat="1" x14ac:dyDescent="0.3">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c r="CP359" s="6"/>
      <c r="CQ359" s="6"/>
      <c r="CR359" s="6"/>
      <c r="CS359" s="6"/>
      <c r="CT359" s="6"/>
      <c r="CU359" s="6"/>
      <c r="CV359" s="6"/>
      <c r="CW359" s="6"/>
      <c r="CX359" s="6"/>
      <c r="CY359" s="6"/>
      <c r="CZ359" s="6"/>
    </row>
    <row r="360" spans="21:104" customFormat="1" x14ac:dyDescent="0.3">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c r="CP360" s="6"/>
      <c r="CQ360" s="6"/>
      <c r="CR360" s="6"/>
      <c r="CS360" s="6"/>
      <c r="CT360" s="6"/>
      <c r="CU360" s="6"/>
      <c r="CV360" s="6"/>
      <c r="CW360" s="6"/>
      <c r="CX360" s="6"/>
      <c r="CY360" s="6"/>
      <c r="CZ360" s="6"/>
    </row>
    <row r="361" spans="21:104" customFormat="1" x14ac:dyDescent="0.3">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c r="CP361" s="6"/>
      <c r="CQ361" s="6"/>
      <c r="CR361" s="6"/>
      <c r="CS361" s="6"/>
      <c r="CT361" s="6"/>
      <c r="CU361" s="6"/>
      <c r="CV361" s="6"/>
      <c r="CW361" s="6"/>
      <c r="CX361" s="6"/>
      <c r="CY361" s="6"/>
      <c r="CZ361" s="6"/>
    </row>
    <row r="362" spans="21:104" customFormat="1" x14ac:dyDescent="0.3">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c r="CP362" s="6"/>
      <c r="CQ362" s="6"/>
      <c r="CR362" s="6"/>
      <c r="CS362" s="6"/>
      <c r="CT362" s="6"/>
      <c r="CU362" s="6"/>
      <c r="CV362" s="6"/>
      <c r="CW362" s="6"/>
      <c r="CX362" s="6"/>
      <c r="CY362" s="6"/>
      <c r="CZ362" s="6"/>
    </row>
    <row r="363" spans="21:104" customFormat="1" x14ac:dyDescent="0.3">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c r="CP363" s="6"/>
      <c r="CQ363" s="6"/>
      <c r="CR363" s="6"/>
      <c r="CS363" s="6"/>
      <c r="CT363" s="6"/>
      <c r="CU363" s="6"/>
      <c r="CV363" s="6"/>
      <c r="CW363" s="6"/>
      <c r="CX363" s="6"/>
      <c r="CY363" s="6"/>
      <c r="CZ363" s="6"/>
    </row>
    <row r="364" spans="21:104" customFormat="1" x14ac:dyDescent="0.3">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c r="CP364" s="6"/>
      <c r="CQ364" s="6"/>
      <c r="CR364" s="6"/>
      <c r="CS364" s="6"/>
      <c r="CT364" s="6"/>
      <c r="CU364" s="6"/>
      <c r="CV364" s="6"/>
      <c r="CW364" s="6"/>
      <c r="CX364" s="6"/>
      <c r="CY364" s="6"/>
      <c r="CZ364" s="6"/>
    </row>
    <row r="365" spans="21:104" customFormat="1" x14ac:dyDescent="0.3">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c r="CP365" s="6"/>
      <c r="CQ365" s="6"/>
      <c r="CR365" s="6"/>
      <c r="CS365" s="6"/>
      <c r="CT365" s="6"/>
      <c r="CU365" s="6"/>
      <c r="CV365" s="6"/>
      <c r="CW365" s="6"/>
      <c r="CX365" s="6"/>
      <c r="CY365" s="6"/>
      <c r="CZ365" s="6"/>
    </row>
    <row r="366" spans="21:104" customFormat="1" x14ac:dyDescent="0.3">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c r="CS366" s="6"/>
      <c r="CT366" s="6"/>
      <c r="CU366" s="6"/>
      <c r="CV366" s="6"/>
      <c r="CW366" s="6"/>
      <c r="CX366" s="6"/>
      <c r="CY366" s="6"/>
      <c r="CZ366" s="6"/>
    </row>
    <row r="367" spans="21:104" customFormat="1" x14ac:dyDescent="0.3">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c r="CP367" s="6"/>
      <c r="CQ367" s="6"/>
      <c r="CR367" s="6"/>
      <c r="CS367" s="6"/>
      <c r="CT367" s="6"/>
      <c r="CU367" s="6"/>
      <c r="CV367" s="6"/>
      <c r="CW367" s="6"/>
      <c r="CX367" s="6"/>
      <c r="CY367" s="6"/>
      <c r="CZ367" s="6"/>
    </row>
    <row r="368" spans="21:104" customFormat="1" x14ac:dyDescent="0.3">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c r="CP368" s="6"/>
      <c r="CQ368" s="6"/>
      <c r="CR368" s="6"/>
      <c r="CS368" s="6"/>
      <c r="CT368" s="6"/>
      <c r="CU368" s="6"/>
      <c r="CV368" s="6"/>
      <c r="CW368" s="6"/>
      <c r="CX368" s="6"/>
      <c r="CY368" s="6"/>
      <c r="CZ368" s="6"/>
    </row>
    <row r="369" spans="21:104" customFormat="1" x14ac:dyDescent="0.3">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c r="CP369" s="6"/>
      <c r="CQ369" s="6"/>
      <c r="CR369" s="6"/>
      <c r="CS369" s="6"/>
      <c r="CT369" s="6"/>
      <c r="CU369" s="6"/>
      <c r="CV369" s="6"/>
      <c r="CW369" s="6"/>
      <c r="CX369" s="6"/>
      <c r="CY369" s="6"/>
      <c r="CZ369" s="6"/>
    </row>
    <row r="370" spans="21:104" customFormat="1" x14ac:dyDescent="0.3">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c r="CP370" s="6"/>
      <c r="CQ370" s="6"/>
      <c r="CR370" s="6"/>
      <c r="CS370" s="6"/>
      <c r="CT370" s="6"/>
      <c r="CU370" s="6"/>
      <c r="CV370" s="6"/>
      <c r="CW370" s="6"/>
      <c r="CX370" s="6"/>
      <c r="CY370" s="6"/>
      <c r="CZ370" s="6"/>
    </row>
    <row r="371" spans="21:104" customFormat="1" x14ac:dyDescent="0.3">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c r="CP371" s="6"/>
      <c r="CQ371" s="6"/>
      <c r="CR371" s="6"/>
      <c r="CS371" s="6"/>
      <c r="CT371" s="6"/>
      <c r="CU371" s="6"/>
      <c r="CV371" s="6"/>
      <c r="CW371" s="6"/>
      <c r="CX371" s="6"/>
      <c r="CY371" s="6"/>
      <c r="CZ371" s="6"/>
    </row>
    <row r="372" spans="21:104" customFormat="1" x14ac:dyDescent="0.3">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c r="CP372" s="6"/>
      <c r="CQ372" s="6"/>
      <c r="CR372" s="6"/>
      <c r="CS372" s="6"/>
      <c r="CT372" s="6"/>
      <c r="CU372" s="6"/>
      <c r="CV372" s="6"/>
      <c r="CW372" s="6"/>
      <c r="CX372" s="6"/>
      <c r="CY372" s="6"/>
      <c r="CZ372" s="6"/>
    </row>
    <row r="373" spans="21:104" customFormat="1" x14ac:dyDescent="0.3">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c r="CP373" s="6"/>
      <c r="CQ373" s="6"/>
      <c r="CR373" s="6"/>
      <c r="CS373" s="6"/>
      <c r="CT373" s="6"/>
      <c r="CU373" s="6"/>
      <c r="CV373" s="6"/>
      <c r="CW373" s="6"/>
      <c r="CX373" s="6"/>
      <c r="CY373" s="6"/>
      <c r="CZ373" s="6"/>
    </row>
    <row r="374" spans="21:104" customFormat="1" x14ac:dyDescent="0.3">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c r="CP374" s="6"/>
      <c r="CQ374" s="6"/>
      <c r="CR374" s="6"/>
      <c r="CS374" s="6"/>
      <c r="CT374" s="6"/>
      <c r="CU374" s="6"/>
      <c r="CV374" s="6"/>
      <c r="CW374" s="6"/>
      <c r="CX374" s="6"/>
      <c r="CY374" s="6"/>
      <c r="CZ374" s="6"/>
    </row>
    <row r="375" spans="21:104" customFormat="1" x14ac:dyDescent="0.3">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c r="CP375" s="6"/>
      <c r="CQ375" s="6"/>
      <c r="CR375" s="6"/>
      <c r="CS375" s="6"/>
      <c r="CT375" s="6"/>
      <c r="CU375" s="6"/>
      <c r="CV375" s="6"/>
      <c r="CW375" s="6"/>
      <c r="CX375" s="6"/>
      <c r="CY375" s="6"/>
      <c r="CZ375" s="6"/>
    </row>
    <row r="376" spans="21:104" customFormat="1" x14ac:dyDescent="0.3">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c r="CP376" s="6"/>
      <c r="CQ376" s="6"/>
      <c r="CR376" s="6"/>
      <c r="CS376" s="6"/>
      <c r="CT376" s="6"/>
      <c r="CU376" s="6"/>
      <c r="CV376" s="6"/>
      <c r="CW376" s="6"/>
      <c r="CX376" s="6"/>
      <c r="CY376" s="6"/>
      <c r="CZ376" s="6"/>
    </row>
    <row r="377" spans="21:104" customFormat="1" x14ac:dyDescent="0.3">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c r="CP377" s="6"/>
      <c r="CQ377" s="6"/>
      <c r="CR377" s="6"/>
      <c r="CS377" s="6"/>
      <c r="CT377" s="6"/>
      <c r="CU377" s="6"/>
      <c r="CV377" s="6"/>
      <c r="CW377" s="6"/>
      <c r="CX377" s="6"/>
      <c r="CY377" s="6"/>
      <c r="CZ377" s="6"/>
    </row>
    <row r="378" spans="21:104" customFormat="1" x14ac:dyDescent="0.3">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c r="CP378" s="6"/>
      <c r="CQ378" s="6"/>
      <c r="CR378" s="6"/>
      <c r="CS378" s="6"/>
      <c r="CT378" s="6"/>
      <c r="CU378" s="6"/>
      <c r="CV378" s="6"/>
      <c r="CW378" s="6"/>
      <c r="CX378" s="6"/>
      <c r="CY378" s="6"/>
      <c r="CZ378" s="6"/>
    </row>
    <row r="379" spans="21:104" customFormat="1" x14ac:dyDescent="0.3">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c r="CP379" s="6"/>
      <c r="CQ379" s="6"/>
      <c r="CR379" s="6"/>
      <c r="CS379" s="6"/>
      <c r="CT379" s="6"/>
      <c r="CU379" s="6"/>
      <c r="CV379" s="6"/>
      <c r="CW379" s="6"/>
      <c r="CX379" s="6"/>
      <c r="CY379" s="6"/>
      <c r="CZ379" s="6"/>
    </row>
    <row r="380" spans="21:104" customFormat="1" x14ac:dyDescent="0.3">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c r="CP380" s="6"/>
      <c r="CQ380" s="6"/>
      <c r="CR380" s="6"/>
      <c r="CS380" s="6"/>
      <c r="CT380" s="6"/>
      <c r="CU380" s="6"/>
      <c r="CV380" s="6"/>
      <c r="CW380" s="6"/>
      <c r="CX380" s="6"/>
      <c r="CY380" s="6"/>
      <c r="CZ380" s="6"/>
    </row>
    <row r="381" spans="21:104" customFormat="1" x14ac:dyDescent="0.3">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c r="CP381" s="6"/>
      <c r="CQ381" s="6"/>
      <c r="CR381" s="6"/>
      <c r="CS381" s="6"/>
      <c r="CT381" s="6"/>
      <c r="CU381" s="6"/>
      <c r="CV381" s="6"/>
      <c r="CW381" s="6"/>
      <c r="CX381" s="6"/>
      <c r="CY381" s="6"/>
      <c r="CZ381" s="6"/>
    </row>
    <row r="382" spans="21:104" customFormat="1" x14ac:dyDescent="0.3">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c r="CP382" s="6"/>
      <c r="CQ382" s="6"/>
      <c r="CR382" s="6"/>
      <c r="CS382" s="6"/>
      <c r="CT382" s="6"/>
      <c r="CU382" s="6"/>
      <c r="CV382" s="6"/>
      <c r="CW382" s="6"/>
      <c r="CX382" s="6"/>
      <c r="CY382" s="6"/>
      <c r="CZ382" s="6"/>
    </row>
    <row r="383" spans="21:104" customFormat="1" x14ac:dyDescent="0.3">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c r="CP383" s="6"/>
      <c r="CQ383" s="6"/>
      <c r="CR383" s="6"/>
      <c r="CS383" s="6"/>
      <c r="CT383" s="6"/>
      <c r="CU383" s="6"/>
      <c r="CV383" s="6"/>
      <c r="CW383" s="6"/>
      <c r="CX383" s="6"/>
      <c r="CY383" s="6"/>
      <c r="CZ383" s="6"/>
    </row>
    <row r="384" spans="21:104" customFormat="1" x14ac:dyDescent="0.3">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c r="CO384" s="6"/>
      <c r="CP384" s="6"/>
      <c r="CQ384" s="6"/>
      <c r="CR384" s="6"/>
      <c r="CS384" s="6"/>
      <c r="CT384" s="6"/>
      <c r="CU384" s="6"/>
      <c r="CV384" s="6"/>
      <c r="CW384" s="6"/>
      <c r="CX384" s="6"/>
      <c r="CY384" s="6"/>
      <c r="CZ384" s="6"/>
    </row>
  </sheetData>
  <mergeCells count="124">
    <mergeCell ref="J1:L1"/>
    <mergeCell ref="B48:C48"/>
    <mergeCell ref="B49:C49"/>
    <mergeCell ref="B42:C42"/>
    <mergeCell ref="B43:C43"/>
    <mergeCell ref="B44:C44"/>
    <mergeCell ref="B45:C45"/>
    <mergeCell ref="B46:C46"/>
    <mergeCell ref="B47:C47"/>
    <mergeCell ref="B7:C7"/>
    <mergeCell ref="B8:C8"/>
    <mergeCell ref="B9:C9"/>
    <mergeCell ref="B10:C10"/>
    <mergeCell ref="B41:C41"/>
    <mergeCell ref="B54:C54"/>
    <mergeCell ref="B55:C55"/>
    <mergeCell ref="B56:C56"/>
    <mergeCell ref="B57:C57"/>
    <mergeCell ref="B58:C58"/>
    <mergeCell ref="B59:C59"/>
    <mergeCell ref="B50:C50"/>
    <mergeCell ref="B51:C51"/>
    <mergeCell ref="B52:C52"/>
    <mergeCell ref="B53:C53"/>
    <mergeCell ref="B67:C67"/>
    <mergeCell ref="B68:C68"/>
    <mergeCell ref="B69:C69"/>
    <mergeCell ref="B70:C70"/>
    <mergeCell ref="B71:C71"/>
    <mergeCell ref="B72:C72"/>
    <mergeCell ref="B60:C60"/>
    <mergeCell ref="B61:C61"/>
    <mergeCell ref="B62:C62"/>
    <mergeCell ref="B63:C63"/>
    <mergeCell ref="B64:C64"/>
    <mergeCell ref="B66:C66"/>
    <mergeCell ref="B80:C80"/>
    <mergeCell ref="B81:C81"/>
    <mergeCell ref="B82:C82"/>
    <mergeCell ref="B83:C83"/>
    <mergeCell ref="B84:C84"/>
    <mergeCell ref="B85:C85"/>
    <mergeCell ref="B74:C74"/>
    <mergeCell ref="B75:C75"/>
    <mergeCell ref="B76:C76"/>
    <mergeCell ref="B77:C77"/>
    <mergeCell ref="B78:C78"/>
    <mergeCell ref="B79:C79"/>
    <mergeCell ref="B94:C94"/>
    <mergeCell ref="B98:C98"/>
    <mergeCell ref="B99:C99"/>
    <mergeCell ref="B101:C101"/>
    <mergeCell ref="B102:C102"/>
    <mergeCell ref="B104:C104"/>
    <mergeCell ref="B86:C86"/>
    <mergeCell ref="B89:C89"/>
    <mergeCell ref="B90:C90"/>
    <mergeCell ref="B91:C91"/>
    <mergeCell ref="B92:C92"/>
    <mergeCell ref="B93:C93"/>
    <mergeCell ref="B114:C114"/>
    <mergeCell ref="B116:C116"/>
    <mergeCell ref="B117:C117"/>
    <mergeCell ref="B119:C119"/>
    <mergeCell ref="B120:C120"/>
    <mergeCell ref="B125:C125"/>
    <mergeCell ref="B105:C105"/>
    <mergeCell ref="B107:C107"/>
    <mergeCell ref="B108:C108"/>
    <mergeCell ref="B110:C110"/>
    <mergeCell ref="B111:C111"/>
    <mergeCell ref="B113:C113"/>
    <mergeCell ref="B122:C122"/>
    <mergeCell ref="B123:C123"/>
    <mergeCell ref="B135:C135"/>
    <mergeCell ref="B137:C137"/>
    <mergeCell ref="B138:C138"/>
    <mergeCell ref="B146:C146"/>
    <mergeCell ref="B147:C147"/>
    <mergeCell ref="B140:C140"/>
    <mergeCell ref="B126:C126"/>
    <mergeCell ref="B128:C128"/>
    <mergeCell ref="B129:C129"/>
    <mergeCell ref="B131:C131"/>
    <mergeCell ref="B132:C132"/>
    <mergeCell ref="B134:C134"/>
    <mergeCell ref="B153:C153"/>
    <mergeCell ref="B155:C155"/>
    <mergeCell ref="B156:C156"/>
    <mergeCell ref="B158:C158"/>
    <mergeCell ref="B159:C159"/>
    <mergeCell ref="B161:C161"/>
    <mergeCell ref="B141:C141"/>
    <mergeCell ref="B143:C143"/>
    <mergeCell ref="B144:C144"/>
    <mergeCell ref="B149:C149"/>
    <mergeCell ref="B150:C150"/>
    <mergeCell ref="B152:C152"/>
    <mergeCell ref="B171:C171"/>
    <mergeCell ref="B173:C173"/>
    <mergeCell ref="B174:C174"/>
    <mergeCell ref="B179:C179"/>
    <mergeCell ref="B180:C180"/>
    <mergeCell ref="B182:C182"/>
    <mergeCell ref="B185:C185"/>
    <mergeCell ref="B186:C186"/>
    <mergeCell ref="B162:C162"/>
    <mergeCell ref="B164:C164"/>
    <mergeCell ref="B165:C165"/>
    <mergeCell ref="B167:C167"/>
    <mergeCell ref="B168:C168"/>
    <mergeCell ref="B170:C170"/>
    <mergeCell ref="B176:C176"/>
    <mergeCell ref="B177:C177"/>
    <mergeCell ref="B209:I209"/>
    <mergeCell ref="B196:C196"/>
    <mergeCell ref="B197:C197"/>
    <mergeCell ref="B198:C198"/>
    <mergeCell ref="B199:C199"/>
    <mergeCell ref="B200:C200"/>
    <mergeCell ref="B194:C194"/>
    <mergeCell ref="B192:C192"/>
    <mergeCell ref="B183:C183"/>
    <mergeCell ref="B191:C191"/>
  </mergeCells>
  <pageMargins left="0.70866141732283472" right="0.70866141732283472" top="0.74803149606299213" bottom="0.74803149606299213" header="0.31496062992125984" footer="0.31496062992125984"/>
  <pageSetup paperSize="9" scale="77" fitToHeight="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733"/>
  <sheetViews>
    <sheetView zoomScaleNormal="100" workbookViewId="0">
      <pane xSplit="3" ySplit="1" topLeftCell="D386" activePane="bottomRight" state="frozen"/>
      <selection pane="topRight" activeCell="D1" sqref="D1"/>
      <selection pane="bottomLeft" activeCell="A2" sqref="A2"/>
      <selection pane="bottomRight" activeCell="D724" sqref="D724"/>
    </sheetView>
  </sheetViews>
  <sheetFormatPr defaultColWidth="8.77734375" defaultRowHeight="14.4" x14ac:dyDescent="0.3"/>
  <cols>
    <col min="1" max="1" width="3" customWidth="1"/>
    <col min="2" max="2" width="46.44140625" customWidth="1"/>
    <col min="3" max="3" width="30.33203125" customWidth="1"/>
    <col min="4" max="4" width="12" customWidth="1"/>
    <col min="5" max="10" width="13.109375" customWidth="1"/>
    <col min="11" max="11" width="14.44140625" customWidth="1"/>
    <col min="12" max="12" width="17.109375" customWidth="1"/>
    <col min="13" max="13" width="17.109375" style="475" bestFit="1" customWidth="1"/>
    <col min="14" max="15" width="17.109375" style="475" customWidth="1"/>
    <col min="16" max="16" width="21.6640625" bestFit="1" customWidth="1"/>
    <col min="17" max="17" width="11.33203125" customWidth="1"/>
    <col min="18" max="18" width="11.44140625" bestFit="1" customWidth="1"/>
    <col min="19" max="19" width="10.6640625" customWidth="1"/>
    <col min="20" max="20" width="24.109375" customWidth="1"/>
    <col min="21" max="21" width="10.44140625" customWidth="1"/>
    <col min="22" max="22" width="10.44140625" bestFit="1" customWidth="1"/>
  </cols>
  <sheetData>
    <row r="1" spans="2:15" s="475" customFormat="1" ht="15" thickBot="1" x14ac:dyDescent="0.35">
      <c r="C1" s="685" t="s">
        <v>706</v>
      </c>
      <c r="D1" s="685"/>
      <c r="E1" s="685"/>
    </row>
    <row r="2" spans="2:15" s="475" customFormat="1" ht="29.4" thickBot="1" x14ac:dyDescent="0.6">
      <c r="B2" s="135" t="s">
        <v>718</v>
      </c>
      <c r="C2" s="136"/>
      <c r="D2" s="136"/>
      <c r="E2" s="137"/>
    </row>
    <row r="3" spans="2:15" s="475" customFormat="1" x14ac:dyDescent="0.3">
      <c r="K3" s="475" t="s">
        <v>547</v>
      </c>
      <c r="L3" s="475" t="s">
        <v>547</v>
      </c>
      <c r="M3" s="475" t="s">
        <v>547</v>
      </c>
      <c r="N3" s="475" t="s">
        <v>547</v>
      </c>
    </row>
    <row r="4" spans="2:15" s="475" customFormat="1" ht="23.4" x14ac:dyDescent="0.45">
      <c r="B4" s="30" t="s">
        <v>665</v>
      </c>
      <c r="C4" s="30"/>
      <c r="D4" s="5"/>
      <c r="E4" s="5"/>
      <c r="F4" s="5"/>
      <c r="G4" s="5"/>
      <c r="H4" s="5"/>
      <c r="I4" s="5"/>
      <c r="J4" s="5"/>
    </row>
    <row r="5" spans="2:15" s="475" customFormat="1" x14ac:dyDescent="0.3">
      <c r="B5" s="32"/>
      <c r="C5" s="32"/>
      <c r="D5" s="39">
        <v>2007</v>
      </c>
      <c r="E5" s="39">
        <v>2008</v>
      </c>
      <c r="F5" s="39">
        <v>2009</v>
      </c>
      <c r="G5" s="39">
        <v>2010</v>
      </c>
      <c r="H5" s="39">
        <v>2011</v>
      </c>
      <c r="I5" s="39">
        <v>2012</v>
      </c>
      <c r="J5" s="39">
        <v>2013</v>
      </c>
    </row>
    <row r="6" spans="2:15" s="475" customFormat="1" x14ac:dyDescent="0.3">
      <c r="B6" s="11" t="s">
        <v>10</v>
      </c>
      <c r="C6" s="11"/>
      <c r="D6" s="21"/>
      <c r="E6" s="21"/>
      <c r="F6" s="21"/>
      <c r="G6" s="21"/>
      <c r="H6" s="21"/>
      <c r="I6" s="21"/>
      <c r="J6" s="21"/>
    </row>
    <row r="7" spans="2:15" s="6" customFormat="1" x14ac:dyDescent="0.3">
      <c r="B7" s="9" t="s">
        <v>246</v>
      </c>
      <c r="C7" s="27" t="s">
        <v>178</v>
      </c>
      <c r="D7" s="10"/>
      <c r="E7" s="40">
        <f>E40/E41</f>
        <v>3.3488588441838156</v>
      </c>
      <c r="F7" s="40"/>
      <c r="G7" s="40"/>
      <c r="H7" s="40">
        <f>H40/H41</f>
        <v>5.1619131580139452</v>
      </c>
      <c r="I7" s="40">
        <f>I40/I41</f>
        <v>5.4646543336830335</v>
      </c>
      <c r="J7" s="40">
        <f>J40/J41</f>
        <v>5.8756517529908026</v>
      </c>
      <c r="K7" s="40"/>
    </row>
    <row r="8" spans="2:15" s="6" customFormat="1" x14ac:dyDescent="0.3">
      <c r="B8" s="44" t="s">
        <v>246</v>
      </c>
      <c r="C8" s="488" t="s">
        <v>206</v>
      </c>
      <c r="D8" s="19"/>
      <c r="E8" s="47">
        <f>E42/E43</f>
        <v>2.686236804679206</v>
      </c>
      <c r="F8" s="47"/>
      <c r="G8" s="47"/>
      <c r="H8" s="47">
        <f>H42/H43</f>
        <v>4.0494984721885983</v>
      </c>
      <c r="I8" s="47">
        <f>I42/I43</f>
        <v>4.1279235186635344</v>
      </c>
      <c r="J8" s="47">
        <f>J42/J43</f>
        <v>4.6930193554545019</v>
      </c>
      <c r="K8" s="47"/>
    </row>
    <row r="9" spans="2:15" s="6" customFormat="1" x14ac:dyDescent="0.3">
      <c r="B9" s="9" t="s">
        <v>246</v>
      </c>
      <c r="C9" s="27" t="s">
        <v>205</v>
      </c>
      <c r="D9" s="10"/>
      <c r="E9" s="40">
        <f>E44/E45</f>
        <v>2.3102826735912769</v>
      </c>
      <c r="F9" s="40"/>
      <c r="G9" s="40"/>
      <c r="H9" s="40">
        <f>H44/H45</f>
        <v>4.5953738109545474</v>
      </c>
      <c r="I9" s="40">
        <f>I44/I45</f>
        <v>4.5528566239865436</v>
      </c>
      <c r="J9" s="40">
        <f>J44/J45</f>
        <v>4.6766632194418687</v>
      </c>
      <c r="K9" s="40"/>
    </row>
    <row r="10" spans="2:15" s="6" customFormat="1" x14ac:dyDescent="0.3">
      <c r="B10" s="44" t="s">
        <v>246</v>
      </c>
      <c r="C10" s="45" t="s">
        <v>204</v>
      </c>
      <c r="D10" s="19"/>
      <c r="E10" s="47">
        <f>E46/E47</f>
        <v>1.3148590074514197</v>
      </c>
      <c r="F10" s="47"/>
      <c r="G10" s="47"/>
      <c r="H10" s="47">
        <f>H46/H47</f>
        <v>2.4258572462667227</v>
      </c>
      <c r="I10" s="47">
        <f>I46/I47</f>
        <v>2.672114140612984</v>
      </c>
      <c r="J10" s="47">
        <f>J46/J47</f>
        <v>3.4136396743983348</v>
      </c>
      <c r="K10" s="47"/>
    </row>
    <row r="11" spans="2:15" s="6" customFormat="1" x14ac:dyDescent="0.3">
      <c r="B11" s="9" t="s">
        <v>246</v>
      </c>
      <c r="C11" s="490" t="s">
        <v>208</v>
      </c>
      <c r="D11" s="10"/>
      <c r="E11" s="40">
        <f>E48/E49</f>
        <v>2.7339306967470987</v>
      </c>
      <c r="F11" s="40"/>
      <c r="G11" s="40"/>
      <c r="H11" s="40">
        <f>H48/H49</f>
        <v>5.0354729792404873</v>
      </c>
      <c r="I11" s="40">
        <f>I48/I49</f>
        <v>5.5932731495521351</v>
      </c>
      <c r="J11" s="40">
        <f>J48/J49</f>
        <v>6.2096308965392666</v>
      </c>
      <c r="K11" s="40"/>
    </row>
    <row r="12" spans="2:15" s="6" customFormat="1" x14ac:dyDescent="0.3">
      <c r="B12" s="44" t="s">
        <v>246</v>
      </c>
      <c r="C12" s="488" t="s">
        <v>213</v>
      </c>
      <c r="D12" s="19"/>
      <c r="E12" s="47">
        <f>E50/E51</f>
        <v>3.2795771331256063</v>
      </c>
      <c r="F12" s="47"/>
      <c r="G12" s="47"/>
      <c r="H12" s="47">
        <f>H50/H51</f>
        <v>5.7421720517075485</v>
      </c>
      <c r="I12" s="47">
        <f>I50/I51</f>
        <v>5.5463365945484204</v>
      </c>
      <c r="J12" s="47">
        <f>J50/J51</f>
        <v>5.833505579587694</v>
      </c>
      <c r="K12" s="47"/>
    </row>
    <row r="13" spans="2:15" s="6" customFormat="1" x14ac:dyDescent="0.3">
      <c r="B13" s="9" t="s">
        <v>246</v>
      </c>
      <c r="C13" s="490" t="s">
        <v>191</v>
      </c>
      <c r="D13" s="10"/>
      <c r="E13" s="40">
        <f>E52/E53</f>
        <v>1.5837372979331887</v>
      </c>
      <c r="F13" s="40"/>
      <c r="G13" s="40"/>
      <c r="H13" s="40">
        <f>H52/H53</f>
        <v>5.2421091938209976</v>
      </c>
      <c r="I13" s="40">
        <f>I52/I53</f>
        <v>5.5174719881108354</v>
      </c>
      <c r="J13" s="40">
        <f>J52/J53</f>
        <v>6.0420701571101381</v>
      </c>
      <c r="K13" s="40"/>
    </row>
    <row r="14" spans="2:15" s="6" customFormat="1" x14ac:dyDescent="0.3">
      <c r="B14" s="48" t="s">
        <v>246</v>
      </c>
      <c r="C14" s="49" t="s">
        <v>214</v>
      </c>
      <c r="D14" s="50"/>
      <c r="E14" s="51">
        <v>2.5</v>
      </c>
      <c r="F14" s="51"/>
      <c r="G14" s="51"/>
      <c r="H14" s="51">
        <v>4.7</v>
      </c>
      <c r="I14" s="51">
        <v>4.8</v>
      </c>
      <c r="J14" s="51">
        <v>4.8</v>
      </c>
      <c r="K14" s="51">
        <v>4.91</v>
      </c>
      <c r="L14" s="51"/>
      <c r="M14" s="51"/>
      <c r="N14" s="51"/>
      <c r="O14" s="51"/>
    </row>
    <row r="15" spans="2:15" s="475" customFormat="1" x14ac:dyDescent="0.3">
      <c r="B15" s="693" t="s">
        <v>16</v>
      </c>
      <c r="C15" s="690"/>
      <c r="D15" s="37">
        <v>73</v>
      </c>
      <c r="E15" s="37">
        <v>94</v>
      </c>
      <c r="F15" s="37"/>
      <c r="G15" s="37"/>
      <c r="H15" s="37">
        <v>125</v>
      </c>
      <c r="I15" s="37">
        <v>142</v>
      </c>
      <c r="J15" s="37">
        <v>162</v>
      </c>
      <c r="K15" s="37">
        <v>174</v>
      </c>
      <c r="L15" s="37"/>
      <c r="M15" s="37"/>
      <c r="N15" s="210">
        <v>205</v>
      </c>
      <c r="O15" s="37"/>
    </row>
    <row r="16" spans="2:15" s="475" customFormat="1" x14ac:dyDescent="0.3">
      <c r="B16" s="693" t="s">
        <v>84</v>
      </c>
      <c r="C16" s="690"/>
      <c r="D16" s="38">
        <v>4</v>
      </c>
      <c r="E16" s="38">
        <v>7</v>
      </c>
      <c r="F16" s="38"/>
      <c r="G16" s="38"/>
      <c r="H16" s="38">
        <v>21</v>
      </c>
      <c r="I16" s="38">
        <v>28</v>
      </c>
      <c r="J16" s="38">
        <v>4</v>
      </c>
      <c r="K16" s="38">
        <v>3</v>
      </c>
      <c r="N16" s="475">
        <v>10</v>
      </c>
    </row>
    <row r="17" spans="2:15" s="475" customFormat="1" x14ac:dyDescent="0.3">
      <c r="B17" s="11" t="s">
        <v>9</v>
      </c>
      <c r="C17" s="11"/>
      <c r="D17" s="21">
        <v>2007</v>
      </c>
      <c r="E17" s="21">
        <v>2008</v>
      </c>
      <c r="F17" s="21">
        <v>2009</v>
      </c>
      <c r="G17" s="21">
        <v>2010</v>
      </c>
      <c r="H17" s="21">
        <v>2011</v>
      </c>
      <c r="I17" s="21">
        <v>2012</v>
      </c>
      <c r="J17" s="21">
        <v>2013</v>
      </c>
      <c r="K17" s="21">
        <v>2014</v>
      </c>
      <c r="L17" s="21">
        <v>2015</v>
      </c>
      <c r="M17" s="21">
        <v>2016</v>
      </c>
      <c r="N17" s="21">
        <v>2017</v>
      </c>
      <c r="O17" s="21"/>
    </row>
    <row r="18" spans="2:15" s="475" customFormat="1" x14ac:dyDescent="0.3">
      <c r="B18" s="693" t="s">
        <v>29</v>
      </c>
      <c r="C18" s="690"/>
      <c r="D18" s="41">
        <v>12789217</v>
      </c>
      <c r="E18" s="41">
        <f>27682264</f>
        <v>27682264</v>
      </c>
      <c r="F18" s="41"/>
      <c r="G18" s="41">
        <v>24184207</v>
      </c>
      <c r="H18" s="41">
        <v>25905458</v>
      </c>
      <c r="I18" s="41">
        <v>37031641</v>
      </c>
      <c r="J18" s="41">
        <v>26232806</v>
      </c>
      <c r="K18" s="41">
        <v>25797606</v>
      </c>
      <c r="L18" s="509">
        <v>61439413</v>
      </c>
      <c r="M18" s="511">
        <v>50514736</v>
      </c>
      <c r="N18" s="511">
        <v>20848570</v>
      </c>
      <c r="O18" s="511"/>
    </row>
    <row r="19" spans="2:15" s="475" customFormat="1" x14ac:dyDescent="0.3">
      <c r="B19" s="693" t="s">
        <v>30</v>
      </c>
      <c r="C19" s="690"/>
      <c r="D19" s="41">
        <f>2884358+1593743</f>
        <v>4478101</v>
      </c>
      <c r="E19" s="41">
        <f>11911713+1788488</f>
        <v>13700201</v>
      </c>
      <c r="F19" s="41"/>
      <c r="G19" s="41">
        <f>19578863+3168050</f>
        <v>22746913</v>
      </c>
      <c r="H19" s="41">
        <f>23935296+3346645</f>
        <v>27281941</v>
      </c>
      <c r="I19" s="41">
        <v>29070661</v>
      </c>
      <c r="J19" s="41">
        <v>24515171</v>
      </c>
      <c r="K19" s="41">
        <v>22819237</v>
      </c>
      <c r="L19" s="509">
        <v>62785999</v>
      </c>
      <c r="M19" s="511">
        <v>60340119</v>
      </c>
      <c r="N19" s="41">
        <v>18396351</v>
      </c>
      <c r="O19" s="511"/>
    </row>
    <row r="20" spans="2:15" s="475" customFormat="1" x14ac:dyDescent="0.3">
      <c r="B20" s="693" t="s">
        <v>210</v>
      </c>
      <c r="C20" s="690"/>
      <c r="D20" s="41">
        <v>2884358</v>
      </c>
      <c r="E20" s="41">
        <f>11911713</f>
        <v>11911713</v>
      </c>
      <c r="F20" s="41"/>
      <c r="G20" s="41">
        <v>19578863</v>
      </c>
      <c r="H20" s="41">
        <v>23935296</v>
      </c>
      <c r="I20" s="41">
        <v>24746199</v>
      </c>
      <c r="J20" s="41">
        <v>21836748</v>
      </c>
      <c r="K20" s="41">
        <v>20402963</v>
      </c>
      <c r="L20" s="509">
        <v>26219041</v>
      </c>
      <c r="M20" s="511">
        <v>25071642</v>
      </c>
      <c r="N20" s="511">
        <v>16000204</v>
      </c>
      <c r="O20" s="511"/>
    </row>
    <row r="21" spans="2:15" s="475" customFormat="1" x14ac:dyDescent="0.3">
      <c r="B21" s="693" t="s">
        <v>211</v>
      </c>
      <c r="C21" s="690"/>
      <c r="D21" s="41">
        <f>281528+580998</f>
        <v>862526</v>
      </c>
      <c r="E21" s="41">
        <f>649623+522917</f>
        <v>1172540</v>
      </c>
      <c r="F21" s="41"/>
      <c r="G21" s="41">
        <f>840962+975000</f>
        <v>1815962</v>
      </c>
      <c r="H21" s="41">
        <f>925000+917316</f>
        <v>1842316</v>
      </c>
      <c r="I21" s="41">
        <v>2585098</v>
      </c>
      <c r="J21" s="41">
        <v>1795476</v>
      </c>
      <c r="K21" s="41">
        <v>1651574</v>
      </c>
      <c r="L21" s="509">
        <v>9115967</v>
      </c>
      <c r="M21" s="511">
        <v>9429856</v>
      </c>
      <c r="N21" s="511">
        <v>1623929</v>
      </c>
      <c r="O21" s="511"/>
    </row>
    <row r="22" spans="2:15" s="475" customFormat="1" x14ac:dyDescent="0.3">
      <c r="B22" s="693" t="s">
        <v>212</v>
      </c>
      <c r="C22" s="690"/>
      <c r="D22" s="41">
        <v>731217</v>
      </c>
      <c r="E22" s="41">
        <v>510200</v>
      </c>
      <c r="F22" s="41"/>
      <c r="G22" s="41">
        <v>1350213</v>
      </c>
      <c r="H22" s="41">
        <v>1441271</v>
      </c>
      <c r="I22" s="41">
        <v>1287207</v>
      </c>
      <c r="J22" s="41">
        <v>882947</v>
      </c>
      <c r="K22" s="41">
        <v>764700</v>
      </c>
      <c r="L22" s="509">
        <v>6310251</v>
      </c>
      <c r="M22" s="511">
        <v>5865058</v>
      </c>
      <c r="N22" s="511">
        <v>772422</v>
      </c>
      <c r="O22" s="511"/>
    </row>
    <row r="23" spans="2:15" s="475" customFormat="1" x14ac:dyDescent="0.3">
      <c r="B23" s="693" t="s">
        <v>216</v>
      </c>
      <c r="C23" s="690"/>
      <c r="D23" s="41"/>
      <c r="E23" s="41">
        <v>105748</v>
      </c>
      <c r="F23" s="41"/>
      <c r="G23" s="41">
        <v>1875</v>
      </c>
      <c r="H23" s="41">
        <v>63058</v>
      </c>
      <c r="I23" s="41"/>
      <c r="J23" s="41"/>
      <c r="K23" s="41"/>
      <c r="L23" s="510"/>
      <c r="M23" s="512"/>
      <c r="N23" s="512"/>
      <c r="O23" s="512"/>
    </row>
    <row r="24" spans="2:15" s="475" customFormat="1" x14ac:dyDescent="0.3">
      <c r="B24" s="693" t="s">
        <v>7</v>
      </c>
      <c r="C24" s="690"/>
      <c r="D24" s="41">
        <f>D18-D19</f>
        <v>8311116</v>
      </c>
      <c r="E24" s="41">
        <f>E18-E19</f>
        <v>13982063</v>
      </c>
      <c r="F24" s="41"/>
      <c r="G24" s="41">
        <f>G18-G19</f>
        <v>1437294</v>
      </c>
      <c r="H24" s="41">
        <f>H18-H19</f>
        <v>-1376483</v>
      </c>
      <c r="I24" s="41"/>
      <c r="J24" s="41">
        <v>1717635</v>
      </c>
      <c r="K24" s="41">
        <v>2978369</v>
      </c>
      <c r="L24" s="509">
        <v>-1346586</v>
      </c>
      <c r="M24" s="511">
        <v>-9825383</v>
      </c>
      <c r="N24" s="511">
        <v>2452015</v>
      </c>
      <c r="O24" s="511"/>
    </row>
    <row r="25" spans="2:15" s="475" customFormat="1" x14ac:dyDescent="0.3">
      <c r="B25" s="693" t="s">
        <v>209</v>
      </c>
      <c r="C25" s="690"/>
      <c r="D25" s="41">
        <v>12789217</v>
      </c>
      <c r="E25" s="41">
        <v>27517483</v>
      </c>
      <c r="F25" s="41"/>
      <c r="G25" s="41">
        <v>24027903</v>
      </c>
      <c r="H25" s="41">
        <v>25596630</v>
      </c>
      <c r="I25" s="41">
        <v>36880491</v>
      </c>
      <c r="J25" s="41">
        <v>25783306</v>
      </c>
      <c r="K25" s="41">
        <v>25515076</v>
      </c>
      <c r="L25" s="509">
        <v>57954101</v>
      </c>
      <c r="M25" s="511">
        <v>46693852</v>
      </c>
      <c r="N25" s="511">
        <v>20567851</v>
      </c>
      <c r="O25" s="511"/>
    </row>
    <row r="26" spans="2:15" s="475" customFormat="1" x14ac:dyDescent="0.3">
      <c r="B26" s="11" t="s">
        <v>8</v>
      </c>
      <c r="C26" s="11"/>
      <c r="D26" s="21"/>
      <c r="E26" s="21"/>
      <c r="F26" s="21"/>
      <c r="G26" s="21"/>
      <c r="H26" s="21"/>
      <c r="I26" s="21"/>
      <c r="J26" s="21"/>
      <c r="K26" s="21"/>
      <c r="L26" s="21"/>
      <c r="M26" s="21"/>
      <c r="N26" s="21"/>
      <c r="O26" s="21"/>
    </row>
    <row r="27" spans="2:15" s="475" customFormat="1" x14ac:dyDescent="0.3">
      <c r="B27" s="693" t="s">
        <v>215</v>
      </c>
      <c r="C27" s="690"/>
      <c r="D27" s="24"/>
      <c r="E27" s="25">
        <v>2032874</v>
      </c>
      <c r="I27" s="25">
        <v>7981099</v>
      </c>
      <c r="J27" s="25">
        <v>8939944</v>
      </c>
      <c r="K27" s="25">
        <v>9604503</v>
      </c>
      <c r="L27" s="2">
        <v>9970373</v>
      </c>
      <c r="M27" s="2">
        <v>9995297</v>
      </c>
      <c r="N27" s="14">
        <v>11241499</v>
      </c>
      <c r="O27" s="2"/>
    </row>
    <row r="28" spans="2:15" s="475" customFormat="1" x14ac:dyDescent="0.3">
      <c r="B28" s="693" t="s">
        <v>666</v>
      </c>
      <c r="C28" s="690"/>
      <c r="D28" s="14"/>
      <c r="E28" s="14">
        <v>843467</v>
      </c>
    </row>
    <row r="29" spans="2:15" s="475" customFormat="1" x14ac:dyDescent="0.3">
      <c r="B29" s="693" t="s">
        <v>667</v>
      </c>
      <c r="C29" s="690"/>
      <c r="D29" s="14"/>
      <c r="E29" s="14">
        <v>757941</v>
      </c>
    </row>
    <row r="30" spans="2:15" s="475" customFormat="1" x14ac:dyDescent="0.3">
      <c r="B30" s="693" t="s">
        <v>668</v>
      </c>
      <c r="C30" s="690"/>
      <c r="D30" s="14"/>
      <c r="E30" s="14">
        <v>431466</v>
      </c>
    </row>
    <row r="31" spans="2:15" s="475" customFormat="1" x14ac:dyDescent="0.3">
      <c r="B31" s="703" t="s">
        <v>669</v>
      </c>
      <c r="C31" s="704"/>
      <c r="D31" s="14">
        <v>2684</v>
      </c>
      <c r="E31" s="14">
        <v>11045</v>
      </c>
      <c r="H31" s="14">
        <v>21255</v>
      </c>
      <c r="I31" s="148">
        <v>21963</v>
      </c>
      <c r="J31" s="148">
        <v>23234</v>
      </c>
      <c r="K31" s="148">
        <v>22721</v>
      </c>
      <c r="L31" s="2">
        <v>21675</v>
      </c>
      <c r="M31" s="2">
        <v>19581</v>
      </c>
      <c r="N31" s="148">
        <v>17820</v>
      </c>
      <c r="O31" s="2"/>
    </row>
    <row r="32" spans="2:15" s="475" customFormat="1" x14ac:dyDescent="0.3">
      <c r="B32" s="693" t="s">
        <v>670</v>
      </c>
      <c r="C32" s="690"/>
      <c r="D32" s="42">
        <v>0.69059999999999999</v>
      </c>
      <c r="E32" s="24"/>
      <c r="H32" s="42">
        <v>0.64</v>
      </c>
    </row>
    <row r="33" spans="2:15" s="475" customFormat="1" x14ac:dyDescent="0.3">
      <c r="B33" s="693" t="s">
        <v>671</v>
      </c>
      <c r="C33" s="690"/>
      <c r="D33" s="42">
        <v>0.15010000000000001</v>
      </c>
      <c r="E33" s="24"/>
      <c r="H33" s="42">
        <v>0.104</v>
      </c>
    </row>
    <row r="34" spans="2:15" s="475" customFormat="1" x14ac:dyDescent="0.3">
      <c r="B34" s="693" t="s">
        <v>672</v>
      </c>
      <c r="C34" s="690"/>
      <c r="D34" s="42">
        <v>0.1993</v>
      </c>
      <c r="E34" s="24"/>
      <c r="H34" s="42">
        <v>0.14699999999999999</v>
      </c>
    </row>
    <row r="35" spans="2:15" s="475" customFormat="1" x14ac:dyDescent="0.3">
      <c r="B35" s="11" t="s">
        <v>27</v>
      </c>
      <c r="C35" s="11"/>
      <c r="D35" s="21"/>
      <c r="E35" s="21"/>
      <c r="F35" s="21"/>
      <c r="G35" s="21"/>
      <c r="H35" s="21"/>
      <c r="I35" s="21"/>
      <c r="J35" s="21"/>
      <c r="K35" s="21"/>
      <c r="L35" s="21"/>
      <c r="M35" s="21"/>
      <c r="N35" s="21"/>
      <c r="O35" s="21"/>
    </row>
    <row r="36" spans="2:15" s="475" customFormat="1" x14ac:dyDescent="0.3">
      <c r="B36" s="489" t="s">
        <v>203</v>
      </c>
      <c r="C36" s="490"/>
      <c r="D36" s="25">
        <v>1271</v>
      </c>
      <c r="E36" s="25">
        <v>1407</v>
      </c>
      <c r="H36" s="25">
        <v>1607</v>
      </c>
      <c r="I36" s="148">
        <v>1600</v>
      </c>
      <c r="J36" s="148">
        <v>1600</v>
      </c>
      <c r="K36" s="148">
        <v>1600</v>
      </c>
    </row>
    <row r="37" spans="2:15" s="475" customFormat="1" x14ac:dyDescent="0.3">
      <c r="C37" s="52"/>
      <c r="D37" s="24"/>
      <c r="E37" s="24"/>
    </row>
    <row r="38" spans="2:15" s="475" customFormat="1" x14ac:dyDescent="0.3">
      <c r="B38" s="699" t="s">
        <v>248</v>
      </c>
      <c r="C38" s="699"/>
      <c r="D38" s="43"/>
      <c r="E38" s="21"/>
      <c r="F38" s="43"/>
      <c r="G38" s="21"/>
      <c r="H38" s="43"/>
      <c r="I38" s="21"/>
      <c r="J38" s="43"/>
      <c r="K38" s="418"/>
      <c r="L38" s="418"/>
      <c r="M38" s="418"/>
      <c r="N38" s="418"/>
      <c r="O38" s="418"/>
    </row>
    <row r="39" spans="2:15" s="6" customFormat="1" x14ac:dyDescent="0.3">
      <c r="B39" s="32"/>
      <c r="C39" s="32"/>
      <c r="D39" s="39">
        <v>2007</v>
      </c>
      <c r="E39" s="39">
        <v>2008</v>
      </c>
      <c r="F39" s="39">
        <v>2009</v>
      </c>
      <c r="G39" s="39">
        <v>2010</v>
      </c>
      <c r="H39" s="39">
        <v>2011</v>
      </c>
      <c r="I39" s="39">
        <v>2012</v>
      </c>
      <c r="J39" s="39">
        <v>2013</v>
      </c>
      <c r="K39" s="418"/>
      <c r="L39" s="418"/>
      <c r="M39" s="418"/>
      <c r="N39" s="418"/>
      <c r="O39" s="418"/>
    </row>
    <row r="40" spans="2:15" s="6" customFormat="1" x14ac:dyDescent="0.3">
      <c r="B40" s="9" t="s">
        <v>223</v>
      </c>
      <c r="C40" s="27" t="s">
        <v>178</v>
      </c>
      <c r="D40" s="14"/>
      <c r="E40" s="14">
        <v>925139</v>
      </c>
      <c r="H40" s="14">
        <v>1481371</v>
      </c>
      <c r="I40" s="7">
        <v>1578296</v>
      </c>
      <c r="J40" s="7">
        <v>1699356</v>
      </c>
      <c r="K40" s="7"/>
    </row>
    <row r="41" spans="2:15" s="6" customFormat="1" x14ac:dyDescent="0.3">
      <c r="B41" s="9" t="s">
        <v>207</v>
      </c>
      <c r="C41" s="27" t="s">
        <v>178</v>
      </c>
      <c r="D41" s="14"/>
      <c r="E41" s="14">
        <v>276255</v>
      </c>
      <c r="F41" s="7"/>
      <c r="G41" s="7"/>
      <c r="H41" s="7">
        <v>286981</v>
      </c>
      <c r="I41" s="7">
        <v>288819</v>
      </c>
      <c r="J41" s="7">
        <v>289220</v>
      </c>
      <c r="K41" s="7"/>
    </row>
    <row r="42" spans="2:15" s="6" customFormat="1" x14ac:dyDescent="0.3">
      <c r="B42" s="44" t="s">
        <v>223</v>
      </c>
      <c r="C42" s="488" t="s">
        <v>206</v>
      </c>
      <c r="D42" s="20">
        <v>115500</v>
      </c>
      <c r="E42" s="20">
        <v>402315</v>
      </c>
      <c r="F42" s="20"/>
      <c r="G42" s="20"/>
      <c r="H42" s="20">
        <f>193180+195232+230485</f>
        <v>618897</v>
      </c>
      <c r="I42" s="122">
        <v>632563</v>
      </c>
      <c r="J42" s="20">
        <f>246337+219129+222892</f>
        <v>688358</v>
      </c>
      <c r="K42" s="20"/>
    </row>
    <row r="43" spans="2:15" s="6" customFormat="1" x14ac:dyDescent="0.3">
      <c r="B43" s="44" t="s">
        <v>207</v>
      </c>
      <c r="C43" s="488" t="s">
        <v>206</v>
      </c>
      <c r="D43" s="20"/>
      <c r="E43" s="20">
        <v>149769</v>
      </c>
      <c r="F43" s="20"/>
      <c r="G43" s="20"/>
      <c r="H43" s="20">
        <v>152833</v>
      </c>
      <c r="I43" s="122">
        <v>153240</v>
      </c>
      <c r="J43" s="20">
        <f>58855+57136+30686</f>
        <v>146677</v>
      </c>
      <c r="K43" s="20"/>
    </row>
    <row r="44" spans="2:15" s="6" customFormat="1" x14ac:dyDescent="0.3">
      <c r="B44" s="9" t="s">
        <v>223</v>
      </c>
      <c r="C44" s="27" t="s">
        <v>205</v>
      </c>
      <c r="D44" s="14">
        <v>1398000</v>
      </c>
      <c r="E44" s="14">
        <v>5334579</v>
      </c>
      <c r="H44" s="6">
        <v>11241617</v>
      </c>
      <c r="I44" s="7">
        <v>11319171</v>
      </c>
      <c r="J44" s="7">
        <f>11469465+247433</f>
        <v>11716898</v>
      </c>
      <c r="K44" s="7"/>
    </row>
    <row r="45" spans="2:15" s="6" customFormat="1" x14ac:dyDescent="0.3">
      <c r="B45" s="9" t="s">
        <v>207</v>
      </c>
      <c r="C45" s="490" t="s">
        <v>205</v>
      </c>
      <c r="D45" s="14"/>
      <c r="E45" s="14">
        <v>2309059</v>
      </c>
      <c r="H45" s="6">
        <v>2446290</v>
      </c>
      <c r="I45" s="7">
        <v>2486169</v>
      </c>
      <c r="J45" s="7">
        <f>2464838+40559</f>
        <v>2505397</v>
      </c>
      <c r="K45" s="7"/>
    </row>
    <row r="46" spans="2:15" s="6" customFormat="1" x14ac:dyDescent="0.3">
      <c r="B46" s="44" t="s">
        <v>223</v>
      </c>
      <c r="C46" s="45" t="s">
        <v>204</v>
      </c>
      <c r="D46" s="20">
        <v>112000</v>
      </c>
      <c r="E46" s="20">
        <v>431968</v>
      </c>
      <c r="F46" s="20"/>
      <c r="G46" s="20"/>
      <c r="H46" s="20">
        <v>814353</v>
      </c>
      <c r="I46" s="122">
        <v>886049</v>
      </c>
      <c r="J46" s="122">
        <f>91357+175658+7708+396004+126288+236470+74925+11711</f>
        <v>1120121</v>
      </c>
      <c r="K46" s="122"/>
    </row>
    <row r="47" spans="2:15" s="6" customFormat="1" x14ac:dyDescent="0.3">
      <c r="B47" s="44" t="s">
        <v>207</v>
      </c>
      <c r="C47" s="45" t="s">
        <v>204</v>
      </c>
      <c r="D47" s="20"/>
      <c r="E47" s="20">
        <v>328528</v>
      </c>
      <c r="F47" s="20"/>
      <c r="G47" s="20"/>
      <c r="H47" s="20">
        <v>335697</v>
      </c>
      <c r="I47" s="122">
        <v>331591</v>
      </c>
      <c r="J47" s="122">
        <f>39800+63019+3225+94853+38575+63891+18660+6108</f>
        <v>328131</v>
      </c>
      <c r="K47" s="122"/>
    </row>
    <row r="48" spans="2:15" s="6" customFormat="1" x14ac:dyDescent="0.3">
      <c r="B48" s="9" t="s">
        <v>223</v>
      </c>
      <c r="C48" s="490" t="s">
        <v>208</v>
      </c>
      <c r="D48" s="14">
        <v>312700</v>
      </c>
      <c r="E48" s="14">
        <v>1442564</v>
      </c>
      <c r="H48" s="14">
        <v>2714271</v>
      </c>
      <c r="I48" s="7">
        <v>3024775</v>
      </c>
      <c r="J48" s="7">
        <f>1494194+292138+542815+435679+535450</f>
        <v>3300276</v>
      </c>
      <c r="K48" s="7"/>
    </row>
    <row r="49" spans="1:13" s="6" customFormat="1" x14ac:dyDescent="0.3">
      <c r="B49" s="9" t="s">
        <v>207</v>
      </c>
      <c r="C49" s="490" t="s">
        <v>208</v>
      </c>
      <c r="D49" s="14"/>
      <c r="E49" s="14">
        <v>527652</v>
      </c>
      <c r="H49" s="14">
        <v>539030</v>
      </c>
      <c r="I49" s="7">
        <v>540788</v>
      </c>
      <c r="J49" s="7">
        <f>185578+50954+81870+81211+131864</f>
        <v>531477</v>
      </c>
      <c r="K49" s="7"/>
    </row>
    <row r="50" spans="1:13" s="6" customFormat="1" x14ac:dyDescent="0.3">
      <c r="B50" s="44" t="s">
        <v>223</v>
      </c>
      <c r="C50" s="488" t="s">
        <v>213</v>
      </c>
      <c r="D50" s="20">
        <v>746600</v>
      </c>
      <c r="E50" s="20">
        <v>2430288</v>
      </c>
      <c r="F50" s="20"/>
      <c r="G50" s="20"/>
      <c r="H50" s="20">
        <v>4117769</v>
      </c>
      <c r="I50" s="122">
        <v>4239836</v>
      </c>
      <c r="J50" s="122">
        <f>180478+2253032+563621+414221+71027+926007</f>
        <v>4408386</v>
      </c>
      <c r="K50" s="122"/>
    </row>
    <row r="51" spans="1:13" s="6" customFormat="1" x14ac:dyDescent="0.3">
      <c r="B51" s="44" t="s">
        <v>207</v>
      </c>
      <c r="C51" s="488" t="s">
        <v>213</v>
      </c>
      <c r="D51" s="20"/>
      <c r="E51" s="20">
        <v>741037</v>
      </c>
      <c r="F51" s="20"/>
      <c r="G51" s="20"/>
      <c r="H51" s="20">
        <v>717110</v>
      </c>
      <c r="I51" s="122">
        <v>764439</v>
      </c>
      <c r="J51" s="122">
        <f>30876+372887+108153+82139+11607+150039</f>
        <v>755701</v>
      </c>
      <c r="K51" s="122"/>
    </row>
    <row r="52" spans="1:13" s="6" customFormat="1" x14ac:dyDescent="0.3">
      <c r="B52" s="9" t="s">
        <v>223</v>
      </c>
      <c r="C52" s="490" t="s">
        <v>191</v>
      </c>
      <c r="D52" s="14">
        <v>25800</v>
      </c>
      <c r="E52" s="14">
        <v>78083</v>
      </c>
      <c r="H52" s="14">
        <v>266729</v>
      </c>
      <c r="I52" s="7">
        <v>282158</v>
      </c>
      <c r="J52" s="7">
        <f>108860+191878</f>
        <v>300738</v>
      </c>
      <c r="K52" s="7"/>
    </row>
    <row r="53" spans="1:13" s="6" customFormat="1" x14ac:dyDescent="0.3">
      <c r="B53" s="9" t="s">
        <v>207</v>
      </c>
      <c r="C53" s="490" t="s">
        <v>191</v>
      </c>
      <c r="D53" s="14"/>
      <c r="E53" s="14">
        <v>49303</v>
      </c>
      <c r="H53" s="14">
        <v>50882</v>
      </c>
      <c r="I53" s="7">
        <v>51139</v>
      </c>
      <c r="J53" s="7">
        <f>20602+29172</f>
        <v>49774</v>
      </c>
      <c r="K53" s="7"/>
    </row>
    <row r="54" spans="1:13" s="6" customFormat="1" x14ac:dyDescent="0.3">
      <c r="B54" s="9"/>
      <c r="C54" s="489"/>
      <c r="D54" s="14"/>
      <c r="E54" s="14"/>
      <c r="H54" s="14"/>
      <c r="I54" s="7"/>
      <c r="J54" s="7"/>
      <c r="K54" s="7"/>
    </row>
    <row r="55" spans="1:13" s="6" customFormat="1" ht="15" thickBot="1" x14ac:dyDescent="0.35">
      <c r="B55" s="699" t="s">
        <v>504</v>
      </c>
      <c r="C55" s="699"/>
      <c r="D55" s="14"/>
      <c r="E55" s="14"/>
      <c r="H55" s="14"/>
      <c r="I55" s="7"/>
      <c r="J55" s="7"/>
      <c r="K55" s="7"/>
    </row>
    <row r="56" spans="1:13" s="6" customFormat="1" ht="15" thickBot="1" x14ac:dyDescent="0.35">
      <c r="C56" s="695">
        <v>2014</v>
      </c>
      <c r="D56" s="696"/>
      <c r="E56" s="697"/>
      <c r="F56" s="695">
        <v>2015</v>
      </c>
      <c r="G56" s="696"/>
      <c r="H56" s="697"/>
      <c r="I56" s="617">
        <v>2016</v>
      </c>
      <c r="J56" s="618">
        <v>2016</v>
      </c>
      <c r="K56" s="619"/>
      <c r="L56" s="618">
        <v>2017</v>
      </c>
      <c r="M56" s="619"/>
    </row>
    <row r="57" spans="1:13" s="101" customFormat="1" ht="115.8" thickBot="1" x14ac:dyDescent="0.35">
      <c r="B57" s="395" t="s">
        <v>503</v>
      </c>
      <c r="C57" s="395" t="s">
        <v>499</v>
      </c>
      <c r="D57" s="396" t="s">
        <v>500</v>
      </c>
      <c r="E57" s="396" t="s">
        <v>501</v>
      </c>
      <c r="F57" s="395" t="s">
        <v>601</v>
      </c>
      <c r="G57" s="396" t="s">
        <v>500</v>
      </c>
      <c r="H57" s="396" t="s">
        <v>501</v>
      </c>
      <c r="I57" s="395" t="s">
        <v>707</v>
      </c>
      <c r="J57" s="396" t="s">
        <v>500</v>
      </c>
      <c r="K57" s="396" t="s">
        <v>501</v>
      </c>
      <c r="L57" s="396" t="s">
        <v>500</v>
      </c>
      <c r="M57" s="396" t="s">
        <v>501</v>
      </c>
    </row>
    <row r="58" spans="1:13" s="6" customFormat="1" x14ac:dyDescent="0.3">
      <c r="A58" s="6">
        <v>1</v>
      </c>
      <c r="B58" s="9" t="s">
        <v>233</v>
      </c>
      <c r="C58" s="184">
        <v>30876</v>
      </c>
      <c r="D58" s="14">
        <v>153089</v>
      </c>
      <c r="E58" s="185">
        <v>4.96</v>
      </c>
      <c r="F58" s="184">
        <v>30106</v>
      </c>
      <c r="G58" s="184">
        <v>108950</v>
      </c>
      <c r="H58" s="421">
        <v>3.6</v>
      </c>
      <c r="I58" s="7">
        <v>30981</v>
      </c>
      <c r="J58" s="7">
        <v>89508</v>
      </c>
      <c r="K58" s="421">
        <v>2.9</v>
      </c>
      <c r="L58" s="212">
        <v>60430</v>
      </c>
      <c r="M58" s="6">
        <v>2</v>
      </c>
    </row>
    <row r="59" spans="1:13" s="6" customFormat="1" x14ac:dyDescent="0.3">
      <c r="A59" s="6">
        <v>2</v>
      </c>
      <c r="B59" s="9" t="s">
        <v>234</v>
      </c>
      <c r="C59" s="184">
        <v>40387</v>
      </c>
      <c r="D59" s="14">
        <v>127415</v>
      </c>
      <c r="E59" s="185">
        <v>3.15</v>
      </c>
      <c r="F59" s="184">
        <v>39997</v>
      </c>
      <c r="G59" s="184">
        <v>135749</v>
      </c>
      <c r="H59" s="421">
        <v>3.4</v>
      </c>
      <c r="I59" s="7">
        <v>37896</v>
      </c>
      <c r="J59" s="7">
        <v>114850</v>
      </c>
      <c r="K59" s="421">
        <v>3</v>
      </c>
      <c r="L59" s="212">
        <v>102507</v>
      </c>
      <c r="M59" s="6">
        <v>2.2999999999999998</v>
      </c>
    </row>
    <row r="60" spans="1:13" s="6" customFormat="1" x14ac:dyDescent="0.3">
      <c r="A60" s="6">
        <v>3</v>
      </c>
      <c r="B60" s="9" t="s">
        <v>168</v>
      </c>
      <c r="C60" s="184">
        <v>372463</v>
      </c>
      <c r="D60" s="14">
        <v>2194426</v>
      </c>
      <c r="E60" s="185">
        <v>5.89</v>
      </c>
      <c r="F60" s="184">
        <v>377809</v>
      </c>
      <c r="G60" s="184">
        <v>2014701</v>
      </c>
      <c r="H60" s="421">
        <v>5.3</v>
      </c>
      <c r="I60" s="7">
        <v>383360</v>
      </c>
      <c r="J60" s="7">
        <v>1827651</v>
      </c>
      <c r="K60" s="421">
        <v>4.8</v>
      </c>
      <c r="L60" s="212">
        <v>1632701</v>
      </c>
      <c r="M60" s="6">
        <v>4.2</v>
      </c>
    </row>
    <row r="61" spans="1:13" s="6" customFormat="1" x14ac:dyDescent="0.3">
      <c r="A61" s="6">
        <v>4</v>
      </c>
      <c r="B61" s="9" t="s">
        <v>169</v>
      </c>
      <c r="C61" s="184">
        <v>63111</v>
      </c>
      <c r="D61" s="14">
        <v>208184</v>
      </c>
      <c r="E61" s="185">
        <v>3.3</v>
      </c>
      <c r="F61" s="184">
        <v>62263</v>
      </c>
      <c r="G61" s="184">
        <v>236747</v>
      </c>
      <c r="H61" s="421">
        <v>3.8</v>
      </c>
      <c r="I61" s="7">
        <v>61988</v>
      </c>
      <c r="J61" s="7">
        <v>236568</v>
      </c>
      <c r="K61" s="421">
        <v>3.8</v>
      </c>
      <c r="L61" s="212">
        <v>212832</v>
      </c>
      <c r="M61" s="493">
        <v>3.4</v>
      </c>
    </row>
    <row r="62" spans="1:13" s="6" customFormat="1" x14ac:dyDescent="0.3">
      <c r="A62" s="6">
        <v>5</v>
      </c>
      <c r="B62" s="9" t="s">
        <v>170</v>
      </c>
      <c r="C62" s="184">
        <v>3240</v>
      </c>
      <c r="D62" s="14">
        <v>6116</v>
      </c>
      <c r="E62" s="185">
        <v>1.89</v>
      </c>
      <c r="F62" s="184">
        <v>3197</v>
      </c>
      <c r="G62" s="184">
        <v>13148</v>
      </c>
      <c r="H62" s="421">
        <v>4.0999999999999996</v>
      </c>
      <c r="I62" s="7">
        <v>3319</v>
      </c>
      <c r="J62" s="7">
        <v>8758</v>
      </c>
      <c r="K62" s="421">
        <v>2.6</v>
      </c>
      <c r="L62" s="212">
        <v>18707</v>
      </c>
      <c r="M62" s="493">
        <v>5.8</v>
      </c>
    </row>
    <row r="63" spans="1:13" s="6" customFormat="1" x14ac:dyDescent="0.3">
      <c r="A63" s="6">
        <v>6</v>
      </c>
      <c r="B63" s="9" t="s">
        <v>171</v>
      </c>
      <c r="C63" s="184">
        <v>60013</v>
      </c>
      <c r="D63" s="14">
        <v>277487</v>
      </c>
      <c r="E63" s="185">
        <v>4.62</v>
      </c>
      <c r="F63" s="184">
        <v>60100</v>
      </c>
      <c r="G63" s="184">
        <v>259338</v>
      </c>
      <c r="H63" s="421">
        <v>4.3</v>
      </c>
      <c r="I63" s="7">
        <v>59517</v>
      </c>
      <c r="J63" s="7">
        <v>238750</v>
      </c>
      <c r="K63" s="421">
        <v>4</v>
      </c>
      <c r="L63" s="212">
        <v>225361</v>
      </c>
      <c r="M63" s="493">
        <v>3.7</v>
      </c>
    </row>
    <row r="64" spans="1:13" s="6" customFormat="1" x14ac:dyDescent="0.3">
      <c r="A64" s="6">
        <v>7</v>
      </c>
      <c r="B64" s="9" t="s">
        <v>172</v>
      </c>
      <c r="C64" s="184">
        <v>189289</v>
      </c>
      <c r="D64" s="14">
        <v>1505400</v>
      </c>
      <c r="E64" s="185">
        <v>7.95</v>
      </c>
      <c r="F64" s="184">
        <v>195523</v>
      </c>
      <c r="G64" s="184">
        <v>1490364</v>
      </c>
      <c r="H64" s="421">
        <v>7.6</v>
      </c>
      <c r="I64" s="7">
        <v>194882</v>
      </c>
      <c r="J64" s="7">
        <v>1275940</v>
      </c>
      <c r="K64" s="421">
        <v>6.5</v>
      </c>
      <c r="L64" s="212">
        <v>1189184</v>
      </c>
      <c r="M64" s="493">
        <v>6</v>
      </c>
    </row>
    <row r="65" spans="1:13" s="6" customFormat="1" x14ac:dyDescent="0.3">
      <c r="A65" s="6">
        <v>8</v>
      </c>
      <c r="B65" s="9" t="s">
        <v>235</v>
      </c>
      <c r="C65" s="184">
        <v>51789</v>
      </c>
      <c r="D65" s="14">
        <v>296006</v>
      </c>
      <c r="E65" s="185">
        <v>5.72</v>
      </c>
      <c r="F65" s="184">
        <v>51451</v>
      </c>
      <c r="G65" s="184">
        <v>281071</v>
      </c>
      <c r="H65" s="421">
        <v>5.5</v>
      </c>
      <c r="I65" s="7">
        <v>51366</v>
      </c>
      <c r="J65" s="7">
        <v>221998</v>
      </c>
      <c r="K65" s="421">
        <v>4.3</v>
      </c>
      <c r="L65" s="212">
        <v>234675</v>
      </c>
      <c r="M65" s="493">
        <v>4.4000000000000004</v>
      </c>
    </row>
    <row r="66" spans="1:13" s="6" customFormat="1" x14ac:dyDescent="0.3">
      <c r="A66" s="6">
        <v>9</v>
      </c>
      <c r="B66" s="9" t="s">
        <v>349</v>
      </c>
      <c r="C66" s="184">
        <v>64639</v>
      </c>
      <c r="D66" s="14">
        <v>359506</v>
      </c>
      <c r="E66" s="185">
        <v>5.56</v>
      </c>
      <c r="F66" s="184">
        <v>64634</v>
      </c>
      <c r="G66" s="184">
        <v>384849</v>
      </c>
      <c r="H66" s="421">
        <v>6</v>
      </c>
      <c r="I66" s="7">
        <v>66527</v>
      </c>
      <c r="J66" s="7">
        <v>337564</v>
      </c>
      <c r="K66" s="421">
        <v>5.0999999999999996</v>
      </c>
      <c r="L66" s="212">
        <v>322264</v>
      </c>
      <c r="M66" s="493">
        <v>4.9000000000000004</v>
      </c>
    </row>
    <row r="67" spans="1:13" s="6" customFormat="1" x14ac:dyDescent="0.3">
      <c r="A67" s="6">
        <v>10</v>
      </c>
      <c r="B67" s="9" t="s">
        <v>175</v>
      </c>
      <c r="C67" s="184">
        <v>82407</v>
      </c>
      <c r="D67" s="14">
        <v>402653</v>
      </c>
      <c r="E67" s="185">
        <v>4.8899999999999997</v>
      </c>
      <c r="F67" s="184">
        <v>82787</v>
      </c>
      <c r="G67" s="184">
        <v>385889</v>
      </c>
      <c r="H67" s="421">
        <v>4.7</v>
      </c>
      <c r="I67" s="7">
        <v>83739</v>
      </c>
      <c r="J67" s="7">
        <v>396439</v>
      </c>
      <c r="K67" s="421">
        <v>4.7</v>
      </c>
      <c r="L67" s="212">
        <v>369149</v>
      </c>
      <c r="M67" s="493">
        <v>4.3</v>
      </c>
    </row>
    <row r="68" spans="1:13" s="6" customFormat="1" x14ac:dyDescent="0.3">
      <c r="A68" s="6">
        <v>11</v>
      </c>
      <c r="B68" s="9" t="s">
        <v>176</v>
      </c>
      <c r="C68" s="184">
        <v>58059</v>
      </c>
      <c r="D68" s="14">
        <v>245055</v>
      </c>
      <c r="E68" s="185">
        <v>4.22</v>
      </c>
      <c r="F68" s="184">
        <v>57642</v>
      </c>
      <c r="G68" s="184">
        <v>216709</v>
      </c>
      <c r="H68" s="421">
        <v>3.8</v>
      </c>
      <c r="I68" s="7">
        <v>60439</v>
      </c>
      <c r="J68" s="7">
        <v>194919</v>
      </c>
      <c r="K68" s="421">
        <v>3.2</v>
      </c>
      <c r="L68" s="212">
        <v>192336</v>
      </c>
      <c r="M68" s="493">
        <v>3.3</v>
      </c>
    </row>
    <row r="69" spans="1:13" s="6" customFormat="1" x14ac:dyDescent="0.3">
      <c r="A69" s="6">
        <v>12</v>
      </c>
      <c r="B69" s="9" t="s">
        <v>178</v>
      </c>
      <c r="C69" s="184">
        <v>288682</v>
      </c>
      <c r="D69" s="14">
        <v>1564049</v>
      </c>
      <c r="E69" s="185">
        <v>5.42</v>
      </c>
      <c r="F69" s="184">
        <v>296414</v>
      </c>
      <c r="G69" s="184">
        <v>1458504</v>
      </c>
      <c r="H69" s="421">
        <v>4.9000000000000004</v>
      </c>
      <c r="I69" s="7">
        <v>94506</v>
      </c>
      <c r="J69" s="7">
        <v>400071</v>
      </c>
      <c r="K69" s="421">
        <v>4.2</v>
      </c>
      <c r="L69" s="212">
        <v>334839</v>
      </c>
      <c r="M69" s="493">
        <v>3.8</v>
      </c>
    </row>
    <row r="70" spans="1:13" s="6" customFormat="1" x14ac:dyDescent="0.3">
      <c r="A70" s="6">
        <v>13</v>
      </c>
      <c r="B70" s="9" t="s">
        <v>237</v>
      </c>
      <c r="C70" s="184">
        <v>93645</v>
      </c>
      <c r="D70" s="14">
        <v>426130</v>
      </c>
      <c r="E70" s="185">
        <v>4.55</v>
      </c>
      <c r="F70" s="184">
        <v>91277</v>
      </c>
      <c r="G70" s="184">
        <v>454510</v>
      </c>
      <c r="H70" s="421">
        <v>5</v>
      </c>
      <c r="I70" s="7">
        <v>295934</v>
      </c>
      <c r="J70" s="7">
        <v>1301972</v>
      </c>
      <c r="K70" s="421">
        <v>4.4000000000000004</v>
      </c>
      <c r="L70" s="212">
        <v>1146320</v>
      </c>
      <c r="M70" s="493">
        <v>3.7</v>
      </c>
    </row>
    <row r="71" spans="1:13" s="6" customFormat="1" x14ac:dyDescent="0.3">
      <c r="A71" s="6">
        <v>14</v>
      </c>
      <c r="B71" s="9" t="s">
        <v>502</v>
      </c>
      <c r="C71" s="184">
        <v>2474123</v>
      </c>
      <c r="D71" s="14">
        <v>11065075</v>
      </c>
      <c r="E71" s="185">
        <v>4.47</v>
      </c>
      <c r="F71" s="184">
        <v>2513869</v>
      </c>
      <c r="G71" s="184">
        <v>10661378</v>
      </c>
      <c r="H71" s="421">
        <v>4.2</v>
      </c>
      <c r="I71" s="7">
        <v>2463431</v>
      </c>
      <c r="J71" s="7">
        <v>9607301</v>
      </c>
      <c r="K71" s="421">
        <v>3.9</v>
      </c>
      <c r="L71" s="212">
        <v>8725724</v>
      </c>
      <c r="M71" s="493">
        <v>3.4</v>
      </c>
    </row>
    <row r="72" spans="1:13" s="6" customFormat="1" x14ac:dyDescent="0.3">
      <c r="A72" s="6">
        <v>15</v>
      </c>
      <c r="B72" s="9" t="s">
        <v>238</v>
      </c>
      <c r="C72" s="184">
        <v>39169</v>
      </c>
      <c r="D72" s="14">
        <v>135790</v>
      </c>
      <c r="E72" s="185">
        <v>3.47</v>
      </c>
      <c r="F72" s="184">
        <v>38621</v>
      </c>
      <c r="G72" s="184">
        <v>138071</v>
      </c>
      <c r="H72" s="421">
        <v>3.5</v>
      </c>
      <c r="I72" s="7">
        <v>38107</v>
      </c>
      <c r="J72" s="7">
        <v>127818</v>
      </c>
      <c r="K72" s="421">
        <v>3.4</v>
      </c>
      <c r="L72" s="212">
        <v>137169</v>
      </c>
      <c r="M72" s="493">
        <v>3.7</v>
      </c>
    </row>
    <row r="73" spans="1:13" s="6" customFormat="1" x14ac:dyDescent="0.3">
      <c r="A73" s="6">
        <v>16</v>
      </c>
      <c r="B73" s="9" t="s">
        <v>181</v>
      </c>
      <c r="C73" s="184">
        <v>30307</v>
      </c>
      <c r="D73" s="14">
        <v>230088</v>
      </c>
      <c r="E73" s="185">
        <v>7.59</v>
      </c>
      <c r="F73" s="184">
        <v>29349</v>
      </c>
      <c r="G73" s="184">
        <v>186893</v>
      </c>
      <c r="H73" s="421">
        <v>6.4</v>
      </c>
      <c r="I73" s="7">
        <v>31447</v>
      </c>
      <c r="J73" s="7">
        <v>163690</v>
      </c>
      <c r="K73" s="421">
        <v>5.2</v>
      </c>
      <c r="L73" s="212">
        <v>161133</v>
      </c>
      <c r="M73" s="493">
        <v>5.5</v>
      </c>
    </row>
    <row r="74" spans="1:13" s="6" customFormat="1" x14ac:dyDescent="0.3">
      <c r="A74" s="6">
        <v>17</v>
      </c>
      <c r="B74" s="9" t="s">
        <v>241</v>
      </c>
      <c r="C74" s="184">
        <v>11523</v>
      </c>
      <c r="D74" s="14">
        <v>77394</v>
      </c>
      <c r="E74" s="185">
        <v>6.72</v>
      </c>
      <c r="F74" s="184">
        <v>11387</v>
      </c>
      <c r="G74" s="184">
        <v>58806</v>
      </c>
      <c r="H74" s="421">
        <v>5.2</v>
      </c>
      <c r="I74" s="7">
        <v>11035</v>
      </c>
      <c r="J74" s="7">
        <v>60272</v>
      </c>
      <c r="K74" s="421">
        <v>5.5</v>
      </c>
      <c r="L74" s="212">
        <v>56372</v>
      </c>
      <c r="M74" s="493">
        <v>5.0999999999999996</v>
      </c>
    </row>
    <row r="75" spans="1:13" s="6" customFormat="1" x14ac:dyDescent="0.3">
      <c r="A75" s="6">
        <v>18</v>
      </c>
      <c r="B75" s="9" t="s">
        <v>183</v>
      </c>
      <c r="C75" s="184">
        <v>152518</v>
      </c>
      <c r="D75" s="14">
        <v>858874</v>
      </c>
      <c r="E75" s="185">
        <v>5.63</v>
      </c>
      <c r="F75" s="184">
        <v>154572</v>
      </c>
      <c r="G75" s="184">
        <v>778161</v>
      </c>
      <c r="H75" s="421">
        <v>5</v>
      </c>
      <c r="I75" s="7">
        <v>155698</v>
      </c>
      <c r="J75" s="7">
        <v>735105</v>
      </c>
      <c r="K75" s="421">
        <v>4.7</v>
      </c>
      <c r="L75" s="212">
        <v>691453</v>
      </c>
      <c r="M75" s="493">
        <v>4.3</v>
      </c>
    </row>
    <row r="76" spans="1:13" s="6" customFormat="1" x14ac:dyDescent="0.3">
      <c r="A76" s="6">
        <v>19</v>
      </c>
      <c r="B76" s="9" t="s">
        <v>184</v>
      </c>
      <c r="C76" s="184">
        <v>82783</v>
      </c>
      <c r="D76" s="14">
        <v>538485</v>
      </c>
      <c r="E76" s="185">
        <v>6.5</v>
      </c>
      <c r="F76" s="184">
        <v>84587</v>
      </c>
      <c r="G76" s="184">
        <v>499121</v>
      </c>
      <c r="H76" s="421">
        <v>5.9</v>
      </c>
      <c r="I76" s="7">
        <v>84354</v>
      </c>
      <c r="J76" s="7">
        <v>439811</v>
      </c>
      <c r="K76" s="421">
        <v>5.2</v>
      </c>
      <c r="L76" s="212">
        <v>416540</v>
      </c>
      <c r="M76" s="493">
        <v>4.8</v>
      </c>
    </row>
    <row r="77" spans="1:13" s="6" customFormat="1" x14ac:dyDescent="0.3">
      <c r="A77" s="6">
        <v>20</v>
      </c>
      <c r="B77" s="9" t="s">
        <v>185</v>
      </c>
      <c r="C77" s="184">
        <v>6032</v>
      </c>
      <c r="D77" s="14">
        <v>6103</v>
      </c>
      <c r="E77" s="185">
        <v>1.01</v>
      </c>
      <c r="F77" s="184">
        <v>5957</v>
      </c>
      <c r="G77" s="184">
        <v>9511</v>
      </c>
      <c r="H77" s="421">
        <v>1.6</v>
      </c>
      <c r="I77" s="7">
        <v>5393</v>
      </c>
      <c r="J77" s="7">
        <v>6167</v>
      </c>
      <c r="K77" s="421">
        <v>1.1000000000000001</v>
      </c>
      <c r="L77" s="212">
        <v>7605</v>
      </c>
      <c r="M77" s="493">
        <v>1.3</v>
      </c>
    </row>
    <row r="78" spans="1:13" s="6" customFormat="1" x14ac:dyDescent="0.3">
      <c r="A78" s="6">
        <v>21</v>
      </c>
      <c r="B78" s="9" t="s">
        <v>242</v>
      </c>
      <c r="C78" s="184">
        <v>81940</v>
      </c>
      <c r="D78" s="14">
        <v>456233</v>
      </c>
      <c r="E78" s="185">
        <v>5.57</v>
      </c>
      <c r="F78" s="184">
        <v>81841</v>
      </c>
      <c r="G78" s="184">
        <v>425155</v>
      </c>
      <c r="H78" s="421">
        <v>5.2</v>
      </c>
      <c r="I78" s="7">
        <v>83022</v>
      </c>
      <c r="J78" s="7">
        <v>395162</v>
      </c>
      <c r="K78" s="421">
        <v>4.8</v>
      </c>
      <c r="L78" s="212">
        <v>367503</v>
      </c>
      <c r="M78" s="493">
        <v>4.2</v>
      </c>
    </row>
    <row r="79" spans="1:13" s="6" customFormat="1" x14ac:dyDescent="0.3">
      <c r="A79" s="6">
        <v>22</v>
      </c>
      <c r="B79" s="9" t="s">
        <v>187</v>
      </c>
      <c r="C79" s="184">
        <v>66321</v>
      </c>
      <c r="D79" s="14">
        <v>260566</v>
      </c>
      <c r="E79" s="185">
        <v>3.93</v>
      </c>
      <c r="F79" s="184">
        <v>63918</v>
      </c>
      <c r="G79" s="184">
        <v>235983</v>
      </c>
      <c r="H79" s="421">
        <v>3.7</v>
      </c>
      <c r="I79" s="7">
        <v>62942</v>
      </c>
      <c r="J79" s="7">
        <v>208509</v>
      </c>
      <c r="K79" s="421">
        <v>3.3</v>
      </c>
      <c r="L79" s="212">
        <v>179474</v>
      </c>
      <c r="M79" s="493">
        <v>2.9</v>
      </c>
    </row>
    <row r="80" spans="1:13" s="6" customFormat="1" x14ac:dyDescent="0.3">
      <c r="A80" s="6">
        <v>23</v>
      </c>
      <c r="B80" s="9" t="s">
        <v>188</v>
      </c>
      <c r="C80" s="184">
        <v>19921</v>
      </c>
      <c r="D80" s="14">
        <v>108180</v>
      </c>
      <c r="E80" s="185">
        <v>5.43</v>
      </c>
      <c r="F80" s="184">
        <v>19456</v>
      </c>
      <c r="G80" s="184">
        <v>102836</v>
      </c>
      <c r="H80" s="421">
        <v>5.3</v>
      </c>
      <c r="I80" s="7">
        <v>20070</v>
      </c>
      <c r="J80" s="7">
        <v>87081</v>
      </c>
      <c r="K80" s="421">
        <v>4.3</v>
      </c>
      <c r="L80" s="212">
        <v>78724</v>
      </c>
      <c r="M80" s="493">
        <v>3.9</v>
      </c>
    </row>
    <row r="81" spans="1:20" s="6" customFormat="1" x14ac:dyDescent="0.3">
      <c r="A81" s="6">
        <v>24</v>
      </c>
      <c r="B81" s="9" t="s">
        <v>243</v>
      </c>
      <c r="C81" s="184">
        <v>18165</v>
      </c>
      <c r="D81" s="14">
        <v>68086</v>
      </c>
      <c r="E81" s="185">
        <v>3.75</v>
      </c>
      <c r="F81" s="184">
        <v>17533</v>
      </c>
      <c r="G81" s="184">
        <v>83642</v>
      </c>
      <c r="H81" s="421">
        <v>4.8</v>
      </c>
      <c r="I81" s="7">
        <v>18133</v>
      </c>
      <c r="J81" s="7">
        <v>71570</v>
      </c>
      <c r="K81" s="421">
        <v>3.9</v>
      </c>
      <c r="L81" s="212">
        <v>71179</v>
      </c>
      <c r="M81" s="493">
        <v>4.2</v>
      </c>
    </row>
    <row r="82" spans="1:20" s="6" customFormat="1" x14ac:dyDescent="0.3">
      <c r="A82" s="6">
        <v>25</v>
      </c>
      <c r="B82" s="9" t="s">
        <v>244</v>
      </c>
      <c r="C82" s="184">
        <v>41496</v>
      </c>
      <c r="D82" s="14">
        <v>254495</v>
      </c>
      <c r="E82" s="185">
        <v>6.13</v>
      </c>
      <c r="F82" s="184">
        <v>40378</v>
      </c>
      <c r="G82" s="184">
        <v>233593</v>
      </c>
      <c r="H82" s="421">
        <v>5.8</v>
      </c>
      <c r="I82" s="7">
        <v>42665</v>
      </c>
      <c r="J82" s="7">
        <v>204067</v>
      </c>
      <c r="K82" s="421">
        <v>4.8</v>
      </c>
      <c r="L82" s="212">
        <v>171087</v>
      </c>
      <c r="M82" s="493">
        <v>4</v>
      </c>
    </row>
    <row r="83" spans="1:20" s="6" customFormat="1" x14ac:dyDescent="0.3">
      <c r="A83" s="6">
        <v>26</v>
      </c>
      <c r="B83" s="9" t="s">
        <v>350</v>
      </c>
      <c r="C83" s="184"/>
      <c r="D83" s="14"/>
      <c r="E83" s="185"/>
      <c r="F83" s="184"/>
      <c r="G83" s="184"/>
      <c r="H83" s="421"/>
      <c r="I83" s="7">
        <v>740</v>
      </c>
      <c r="L83" s="212"/>
    </row>
    <row r="84" spans="1:20" s="6" customFormat="1" x14ac:dyDescent="0.3">
      <c r="A84" s="6">
        <v>27</v>
      </c>
      <c r="B84" s="9" t="s">
        <v>346</v>
      </c>
      <c r="C84" s="184">
        <v>44869</v>
      </c>
      <c r="D84" s="14">
        <v>176989</v>
      </c>
      <c r="E84" s="185">
        <v>3.94</v>
      </c>
      <c r="F84" s="184">
        <v>45448</v>
      </c>
      <c r="G84" s="184">
        <v>159603</v>
      </c>
      <c r="H84" s="421">
        <v>3.9</v>
      </c>
      <c r="I84" s="7">
        <v>44671</v>
      </c>
      <c r="J84" s="7">
        <v>151355</v>
      </c>
      <c r="K84" s="421">
        <v>3.4</v>
      </c>
      <c r="L84" s="212">
        <v>134337</v>
      </c>
      <c r="M84" s="6">
        <v>2.9</v>
      </c>
    </row>
    <row r="85" spans="1:20" s="6" customFormat="1" x14ac:dyDescent="0.3">
      <c r="A85" s="6">
        <v>28</v>
      </c>
      <c r="B85" s="9" t="s">
        <v>191</v>
      </c>
      <c r="C85" s="184">
        <v>29584</v>
      </c>
      <c r="D85" s="14">
        <v>185829</v>
      </c>
      <c r="E85" s="185">
        <v>6.28</v>
      </c>
      <c r="F85" s="184">
        <v>29177</v>
      </c>
      <c r="G85" s="184">
        <v>167017</v>
      </c>
      <c r="H85" s="421">
        <v>6.3</v>
      </c>
      <c r="I85" s="7">
        <v>29970</v>
      </c>
      <c r="J85" s="7">
        <v>154413</v>
      </c>
      <c r="K85" s="421">
        <v>5.2</v>
      </c>
      <c r="L85" s="212">
        <v>129968</v>
      </c>
      <c r="M85" s="6">
        <v>4.4000000000000004</v>
      </c>
    </row>
    <row r="86" spans="1:20" s="6" customFormat="1" ht="15" thickBot="1" x14ac:dyDescent="0.35">
      <c r="A86" s="6">
        <v>29</v>
      </c>
      <c r="B86" s="9" t="s">
        <v>245</v>
      </c>
      <c r="C86" s="184">
        <v>133270</v>
      </c>
      <c r="D86" s="14">
        <v>533402</v>
      </c>
      <c r="E86" s="185">
        <v>4</v>
      </c>
      <c r="F86" s="184">
        <v>133191</v>
      </c>
      <c r="G86" s="184">
        <v>433064</v>
      </c>
      <c r="H86" s="421">
        <v>4</v>
      </c>
      <c r="I86" s="7">
        <v>132663</v>
      </c>
      <c r="J86" s="7">
        <v>476266</v>
      </c>
      <c r="K86" s="421">
        <v>3.6</v>
      </c>
      <c r="L86" s="212">
        <v>451397</v>
      </c>
      <c r="M86" s="6">
        <v>3.3</v>
      </c>
    </row>
    <row r="87" spans="1:20" s="6" customFormat="1" ht="15" thickBot="1" x14ac:dyDescent="0.35">
      <c r="A87" s="186">
        <v>30</v>
      </c>
      <c r="B87" s="187" t="s">
        <v>497</v>
      </c>
      <c r="C87" s="188">
        <v>4631302</v>
      </c>
      <c r="D87" s="189">
        <v>22721111</v>
      </c>
      <c r="E87" s="187">
        <v>4.91</v>
      </c>
      <c r="F87" s="187"/>
      <c r="G87" s="422">
        <f>SUM(G58:G86)</f>
        <v>21613363</v>
      </c>
      <c r="H87" s="187">
        <v>4.5999999999999996</v>
      </c>
      <c r="I87" s="422">
        <v>4648055</v>
      </c>
      <c r="J87" s="422">
        <v>19533571</v>
      </c>
      <c r="K87" s="187">
        <v>4.2</v>
      </c>
      <c r="L87" s="422" t="s">
        <v>783</v>
      </c>
      <c r="M87" s="187">
        <v>3.7</v>
      </c>
    </row>
    <row r="88" spans="1:20" s="6" customFormat="1" x14ac:dyDescent="0.3">
      <c r="H88" s="14"/>
      <c r="I88" s="7"/>
      <c r="J88" s="7"/>
      <c r="K88" s="7"/>
    </row>
    <row r="89" spans="1:20" s="6" customFormat="1" x14ac:dyDescent="0.3">
      <c r="B89" s="9"/>
      <c r="C89" s="489"/>
      <c r="D89" s="14"/>
      <c r="E89" s="14"/>
      <c r="H89" s="14"/>
      <c r="I89" s="7"/>
      <c r="J89" s="7"/>
      <c r="K89" s="158" t="s">
        <v>788</v>
      </c>
    </row>
    <row r="90" spans="1:20" s="6" customFormat="1" x14ac:dyDescent="0.3">
      <c r="B90" s="489"/>
      <c r="C90" s="489"/>
      <c r="D90" s="18"/>
      <c r="E90" s="14"/>
    </row>
    <row r="91" spans="1:20" s="6" customFormat="1" ht="24" thickBot="1" x14ac:dyDescent="0.5">
      <c r="B91" s="30" t="s">
        <v>364</v>
      </c>
      <c r="C91" s="30"/>
      <c r="D91" s="5"/>
      <c r="E91" s="5"/>
      <c r="F91" s="5"/>
      <c r="G91" s="5"/>
      <c r="H91" s="5"/>
      <c r="I91" s="5"/>
      <c r="J91" s="5"/>
      <c r="K91" s="5"/>
      <c r="L91" s="5"/>
      <c r="M91" s="5"/>
      <c r="N91" s="5"/>
      <c r="O91" s="5"/>
    </row>
    <row r="92" spans="1:20" s="6" customFormat="1" ht="29.4" thickBot="1" x14ac:dyDescent="0.35">
      <c r="B92" s="32"/>
      <c r="C92" s="32"/>
      <c r="D92" s="39">
        <v>2007</v>
      </c>
      <c r="E92" s="39">
        <v>2008</v>
      </c>
      <c r="F92" s="39">
        <v>2009</v>
      </c>
      <c r="G92" s="39">
        <v>2010</v>
      </c>
      <c r="H92" s="39">
        <v>2011</v>
      </c>
      <c r="I92" s="39">
        <v>2012</v>
      </c>
      <c r="J92" s="39">
        <v>2013</v>
      </c>
      <c r="K92" s="39">
        <v>2014</v>
      </c>
      <c r="L92" s="39">
        <v>2015</v>
      </c>
      <c r="M92" s="39">
        <v>2016</v>
      </c>
      <c r="N92" s="39">
        <v>2017</v>
      </c>
      <c r="O92" s="39"/>
      <c r="P92" s="191" t="s">
        <v>784</v>
      </c>
      <c r="Q92" s="591" t="s">
        <v>510</v>
      </c>
      <c r="R92" s="591" t="s">
        <v>510</v>
      </c>
      <c r="S92" s="613" t="s">
        <v>510</v>
      </c>
    </row>
    <row r="93" spans="1:20" s="6" customFormat="1" ht="29.4" thickBot="1" x14ac:dyDescent="0.35">
      <c r="B93" s="11" t="s">
        <v>10</v>
      </c>
      <c r="C93" s="11"/>
      <c r="D93" s="21"/>
      <c r="E93" s="21"/>
      <c r="F93" s="21"/>
      <c r="G93" s="21"/>
      <c r="H93" s="21"/>
      <c r="I93" s="21"/>
      <c r="J93" s="21"/>
      <c r="K93" s="21"/>
      <c r="L93" s="21"/>
      <c r="M93" s="21"/>
      <c r="N93" s="21"/>
      <c r="O93" s="21"/>
      <c r="P93" s="191"/>
      <c r="Q93" s="592" t="s">
        <v>595</v>
      </c>
      <c r="R93" s="592" t="s">
        <v>663</v>
      </c>
      <c r="S93" s="614" t="s">
        <v>725</v>
      </c>
    </row>
    <row r="94" spans="1:20" s="6" customFormat="1" ht="16.2" thickBot="1" x14ac:dyDescent="0.35">
      <c r="B94" s="9" t="s">
        <v>368</v>
      </c>
      <c r="C94" s="59" t="s">
        <v>233</v>
      </c>
      <c r="D94" s="10"/>
      <c r="E94" s="40"/>
      <c r="F94" s="40"/>
      <c r="G94" s="40"/>
      <c r="H94" s="40">
        <f>H142/'[1]Bevs(2000-2015)'!O212</f>
        <v>0.1882144327285393</v>
      </c>
      <c r="I94" s="40">
        <f>I142/'[1]Bevs(2000-2015)'!P212</f>
        <v>0.44138725364729969</v>
      </c>
      <c r="J94" s="40">
        <f>J142/'[1]Bevs(2000-2015)'!Q212</f>
        <v>0.50730648349155949</v>
      </c>
      <c r="K94" s="183">
        <v>0.66</v>
      </c>
      <c r="L94" s="394">
        <f t="shared" ref="L94:L122" si="0">L142/Q94</f>
        <v>0.53866338935760316</v>
      </c>
      <c r="M94" s="394">
        <f t="shared" ref="M94:M122" si="1">M142/R94</f>
        <v>0.462928891901488</v>
      </c>
      <c r="N94" s="394">
        <f t="shared" ref="N94:N122" si="2">N142/S94</f>
        <v>0.48109597428440226</v>
      </c>
      <c r="O94" s="394"/>
      <c r="P94" s="191" t="s">
        <v>233</v>
      </c>
      <c r="Q94" s="191">
        <v>30106</v>
      </c>
      <c r="R94" s="191">
        <v>30981</v>
      </c>
      <c r="S94" s="547">
        <v>32665</v>
      </c>
      <c r="T94" s="536" t="s">
        <v>233</v>
      </c>
    </row>
    <row r="95" spans="1:20" s="6" customFormat="1" ht="16.2" thickBot="1" x14ac:dyDescent="0.35">
      <c r="B95" s="44" t="s">
        <v>368</v>
      </c>
      <c r="C95" s="45" t="s">
        <v>234</v>
      </c>
      <c r="D95" s="19"/>
      <c r="E95" s="47"/>
      <c r="F95" s="47"/>
      <c r="G95" s="47"/>
      <c r="H95" s="47"/>
      <c r="I95" s="47">
        <f>I143/'[1]Bevs(2000-2015)'!P215</f>
        <v>8.937457800895246E-2</v>
      </c>
      <c r="J95" s="47">
        <f>J143/'[1]Bevs(2000-2015)'!Q215</f>
        <v>0.24681775071132631</v>
      </c>
      <c r="K95" s="183">
        <v>0.26</v>
      </c>
      <c r="L95" s="394">
        <f t="shared" si="0"/>
        <v>0.29624721854139058</v>
      </c>
      <c r="M95" s="394">
        <f t="shared" si="1"/>
        <v>0.47115790584758288</v>
      </c>
      <c r="N95" s="394">
        <f t="shared" si="2"/>
        <v>0.47780318066477401</v>
      </c>
      <c r="O95" s="394"/>
      <c r="P95" s="191" t="s">
        <v>234</v>
      </c>
      <c r="Q95" s="191">
        <v>39997</v>
      </c>
      <c r="R95" s="191">
        <v>37896</v>
      </c>
      <c r="S95" s="549">
        <v>39803</v>
      </c>
      <c r="T95" s="537" t="s">
        <v>234</v>
      </c>
    </row>
    <row r="96" spans="1:20" s="6" customFormat="1" ht="16.2" thickBot="1" x14ac:dyDescent="0.35">
      <c r="B96" s="9" t="s">
        <v>368</v>
      </c>
      <c r="C96" s="59" t="s">
        <v>168</v>
      </c>
      <c r="D96" s="10"/>
      <c r="E96" s="40"/>
      <c r="F96" s="40"/>
      <c r="G96" s="40"/>
      <c r="H96" s="40">
        <f>H144/'[1]Bevs(2000-2015)'!O218</f>
        <v>0.21898528963746355</v>
      </c>
      <c r="I96" s="40">
        <f>I144/'[1]Bevs(2000-2015)'!P218</f>
        <v>0.75215417349939695</v>
      </c>
      <c r="J96" s="40">
        <f>J144/'[1]Bevs(2000-2015)'!Q218</f>
        <v>0.92001939315583203</v>
      </c>
      <c r="K96" s="183">
        <v>1.1100000000000001</v>
      </c>
      <c r="L96" s="394">
        <f t="shared" si="0"/>
        <v>1.1275379887721044</v>
      </c>
      <c r="M96" s="394">
        <f t="shared" si="1"/>
        <v>1.1701194699499164</v>
      </c>
      <c r="N96" s="394">
        <f t="shared" si="2"/>
        <v>1.2065291145007875</v>
      </c>
      <c r="O96" s="394"/>
      <c r="P96" s="191" t="s">
        <v>168</v>
      </c>
      <c r="Q96" s="191">
        <v>377809</v>
      </c>
      <c r="R96" s="191">
        <v>383360</v>
      </c>
      <c r="S96" s="549">
        <v>408233</v>
      </c>
      <c r="T96" s="537" t="s">
        <v>168</v>
      </c>
    </row>
    <row r="97" spans="2:20" s="6" customFormat="1" ht="16.2" thickBot="1" x14ac:dyDescent="0.35">
      <c r="B97" s="44" t="s">
        <v>368</v>
      </c>
      <c r="C97" s="45" t="s">
        <v>169</v>
      </c>
      <c r="D97" s="19"/>
      <c r="E97" s="47"/>
      <c r="F97" s="47"/>
      <c r="G97" s="47"/>
      <c r="H97" s="47"/>
      <c r="I97" s="47">
        <f>I145/'[1]Bevs(2000-2015)'!P221</f>
        <v>0.15477643403972041</v>
      </c>
      <c r="J97" s="47">
        <f>J145/'[1]Bevs(2000-2015)'!Q221</f>
        <v>0.23415758925021865</v>
      </c>
      <c r="K97" s="183">
        <v>0.26</v>
      </c>
      <c r="L97" s="394">
        <f t="shared" si="0"/>
        <v>0.42307630534988677</v>
      </c>
      <c r="M97" s="394">
        <f t="shared" si="1"/>
        <v>0.49154675098406142</v>
      </c>
      <c r="N97" s="394">
        <f t="shared" si="2"/>
        <v>0.59789019789019793</v>
      </c>
      <c r="O97" s="394"/>
      <c r="P97" s="191" t="s">
        <v>169</v>
      </c>
      <c r="Q97" s="191">
        <v>62263</v>
      </c>
      <c r="R97" s="191">
        <v>61988</v>
      </c>
      <c r="S97" s="549">
        <v>64935</v>
      </c>
      <c r="T97" s="537" t="s">
        <v>169</v>
      </c>
    </row>
    <row r="98" spans="2:20" s="6" customFormat="1" ht="16.2" thickBot="1" x14ac:dyDescent="0.35">
      <c r="B98" s="9" t="s">
        <v>368</v>
      </c>
      <c r="C98" s="59" t="s">
        <v>170</v>
      </c>
      <c r="D98" s="10"/>
      <c r="E98" s="40"/>
      <c r="F98" s="40"/>
      <c r="G98" s="40"/>
      <c r="H98" s="40"/>
      <c r="I98" s="40">
        <f>I146/'[1]Bevs(2000-2015)'!P224</f>
        <v>0.15256797583081572</v>
      </c>
      <c r="J98" s="40">
        <f>J146/'[1]Bevs(2000-2015)'!Q224</f>
        <v>0.5684952497701502</v>
      </c>
      <c r="K98" s="183">
        <v>0.95</v>
      </c>
      <c r="L98" s="394">
        <f t="shared" si="0"/>
        <v>2.1379418204566782</v>
      </c>
      <c r="M98" s="394">
        <f t="shared" si="1"/>
        <v>1.2335040674902078</v>
      </c>
      <c r="N98" s="394">
        <f t="shared" si="2"/>
        <v>1.187929061784897</v>
      </c>
      <c r="O98" s="394"/>
      <c r="P98" s="191" t="s">
        <v>170</v>
      </c>
      <c r="Q98" s="191">
        <v>3197</v>
      </c>
      <c r="R98" s="191">
        <v>3319</v>
      </c>
      <c r="S98" s="549">
        <v>3496</v>
      </c>
      <c r="T98" s="537" t="s">
        <v>170</v>
      </c>
    </row>
    <row r="99" spans="2:20" s="6" customFormat="1" ht="16.2" thickBot="1" x14ac:dyDescent="0.35">
      <c r="B99" s="44" t="s">
        <v>368</v>
      </c>
      <c r="C99" s="45" t="s">
        <v>171</v>
      </c>
      <c r="D99" s="19"/>
      <c r="E99" s="47"/>
      <c r="F99" s="47"/>
      <c r="G99" s="47"/>
      <c r="H99" s="47">
        <f>H147/'[1]Bevs(2000-2015)'!O227</f>
        <v>0.11088250670354319</v>
      </c>
      <c r="I99" s="47">
        <f>I147/'[1]Bevs(2000-2015)'!P227</f>
        <v>0.35769554247266611</v>
      </c>
      <c r="J99" s="47">
        <f>J147/'[1]Bevs(2000-2015)'!Q227</f>
        <v>0.5223878083691168</v>
      </c>
      <c r="K99" s="183">
        <v>0.75</v>
      </c>
      <c r="L99" s="394">
        <f t="shared" si="0"/>
        <v>0.69494176372712146</v>
      </c>
      <c r="M99" s="394">
        <f t="shared" si="1"/>
        <v>0.73130366113883427</v>
      </c>
      <c r="N99" s="394">
        <f t="shared" si="2"/>
        <v>0.74906614284794226</v>
      </c>
      <c r="O99" s="394"/>
      <c r="P99" s="191" t="s">
        <v>171</v>
      </c>
      <c r="Q99" s="191">
        <v>60100</v>
      </c>
      <c r="R99" s="191">
        <v>59517</v>
      </c>
      <c r="S99" s="549">
        <v>62108</v>
      </c>
      <c r="T99" s="537" t="s">
        <v>171</v>
      </c>
    </row>
    <row r="100" spans="2:20" s="6" customFormat="1" ht="16.2" thickBot="1" x14ac:dyDescent="0.35">
      <c r="B100" s="9" t="s">
        <v>368</v>
      </c>
      <c r="C100" s="59" t="s">
        <v>172</v>
      </c>
      <c r="D100" s="10"/>
      <c r="E100" s="40"/>
      <c r="F100" s="40"/>
      <c r="G100" s="40"/>
      <c r="H100" s="40">
        <f>H148/'[1]Bevs(2000-2015)'!O230</f>
        <v>0.17631224764468373</v>
      </c>
      <c r="I100" s="40">
        <f>I148/'[1]Bevs(2000-2015)'!P230</f>
        <v>0.90967972145931097</v>
      </c>
      <c r="J100" s="40">
        <f>J148/'[1]Bevs(2000-2015)'!Q230</f>
        <v>1.4685550488319064</v>
      </c>
      <c r="K100" s="183">
        <v>1.86</v>
      </c>
      <c r="L100" s="394">
        <f t="shared" si="0"/>
        <v>1.7698327051037475</v>
      </c>
      <c r="M100" s="394">
        <f t="shared" si="1"/>
        <v>1.8442544719368643</v>
      </c>
      <c r="N100" s="394">
        <f t="shared" si="2"/>
        <v>1.9658783041663617</v>
      </c>
      <c r="O100" s="394"/>
      <c r="P100" s="191" t="s">
        <v>172</v>
      </c>
      <c r="Q100" s="191">
        <v>195523</v>
      </c>
      <c r="R100" s="191">
        <v>194882</v>
      </c>
      <c r="S100" s="549">
        <v>204855</v>
      </c>
      <c r="T100" s="537" t="s">
        <v>172</v>
      </c>
    </row>
    <row r="101" spans="2:20" s="6" customFormat="1" ht="16.2" thickBot="1" x14ac:dyDescent="0.35">
      <c r="B101" s="44" t="s">
        <v>368</v>
      </c>
      <c r="C101" s="45" t="s">
        <v>235</v>
      </c>
      <c r="D101" s="19"/>
      <c r="E101" s="47"/>
      <c r="F101" s="47"/>
      <c r="G101" s="47"/>
      <c r="H101" s="47">
        <f>H149/'[1]Bevs(2000-2015)'!O233</f>
        <v>0.10126088144591482</v>
      </c>
      <c r="I101" s="47">
        <f>I149/'[1]Bevs(2000-2015)'!P233</f>
        <v>0.51380977548104212</v>
      </c>
      <c r="J101" s="47">
        <f>J149/'[1]Bevs(2000-2015)'!Q233</f>
        <v>0.62118924853451485</v>
      </c>
      <c r="K101" s="183">
        <v>0.76</v>
      </c>
      <c r="L101" s="394">
        <f t="shared" si="0"/>
        <v>0.91463722765349553</v>
      </c>
      <c r="M101" s="394">
        <f t="shared" si="1"/>
        <v>0.81879063972277377</v>
      </c>
      <c r="N101" s="394">
        <f t="shared" si="2"/>
        <v>1.0355941240278723</v>
      </c>
      <c r="O101" s="394"/>
      <c r="P101" s="191" t="s">
        <v>235</v>
      </c>
      <c r="Q101" s="191">
        <v>51451</v>
      </c>
      <c r="R101" s="191">
        <v>51366</v>
      </c>
      <c r="S101" s="549">
        <v>54391</v>
      </c>
      <c r="T101" s="537" t="s">
        <v>235</v>
      </c>
    </row>
    <row r="102" spans="2:20" s="6" customFormat="1" ht="16.2" thickBot="1" x14ac:dyDescent="0.35">
      <c r="B102" s="9" t="s">
        <v>368</v>
      </c>
      <c r="C102" s="27" t="s">
        <v>345</v>
      </c>
      <c r="D102" s="10"/>
      <c r="E102" s="40"/>
      <c r="F102" s="40"/>
      <c r="G102" s="40"/>
      <c r="H102" s="40">
        <f>H150/'[1]Bevs(2000-2015)'!O239</f>
        <v>9.710169675706723E-2</v>
      </c>
      <c r="I102" s="40"/>
      <c r="J102" s="40">
        <f>J150/'[1]Bevs(2000-2015)'!Q239</f>
        <v>0.56354380083193645</v>
      </c>
      <c r="K102" s="183">
        <v>0.65</v>
      </c>
      <c r="L102" s="394">
        <f t="shared" si="0"/>
        <v>0.77702138193520442</v>
      </c>
      <c r="M102" s="394">
        <f t="shared" si="1"/>
        <v>1.0658830249372435</v>
      </c>
      <c r="N102" s="394">
        <f t="shared" si="2"/>
        <v>1.3979056105797882</v>
      </c>
      <c r="O102" s="394"/>
      <c r="P102" s="191" t="s">
        <v>345</v>
      </c>
      <c r="Q102" s="191">
        <v>64634</v>
      </c>
      <c r="R102" s="191">
        <v>66527</v>
      </c>
      <c r="S102" s="551">
        <v>70474</v>
      </c>
      <c r="T102" s="537" t="s">
        <v>345</v>
      </c>
    </row>
    <row r="103" spans="2:20" s="6" customFormat="1" ht="16.2" thickBot="1" x14ac:dyDescent="0.35">
      <c r="B103" s="44" t="s">
        <v>368</v>
      </c>
      <c r="C103" s="45" t="s">
        <v>175</v>
      </c>
      <c r="D103" s="19"/>
      <c r="E103" s="47"/>
      <c r="F103" s="47"/>
      <c r="G103" s="47"/>
      <c r="H103" s="47">
        <f>H151/'[1]Bevs(2000-2015)'!O242</f>
        <v>5.3420875007670121E-2</v>
      </c>
      <c r="I103" s="47">
        <f>I151/'[1]Bevs(2000-2015)'!P242</f>
        <v>0.53114295185826366</v>
      </c>
      <c r="J103" s="47">
        <f>J151/'[1]Bevs(2000-2015)'!Q242</f>
        <v>0.67303052939663721</v>
      </c>
      <c r="K103" s="183">
        <v>0.82</v>
      </c>
      <c r="L103" s="394">
        <f t="shared" si="0"/>
        <v>0.93722444345126654</v>
      </c>
      <c r="M103" s="394">
        <f t="shared" si="1"/>
        <v>1.117042238383549</v>
      </c>
      <c r="N103" s="394">
        <f t="shared" si="2"/>
        <v>1.0816622780365943</v>
      </c>
      <c r="O103" s="394"/>
      <c r="P103" s="191" t="s">
        <v>175</v>
      </c>
      <c r="Q103" s="191">
        <v>82787</v>
      </c>
      <c r="R103" s="191">
        <v>83739</v>
      </c>
      <c r="S103" s="549">
        <v>88866</v>
      </c>
      <c r="T103" s="537" t="s">
        <v>175</v>
      </c>
    </row>
    <row r="104" spans="2:20" s="6" customFormat="1" ht="16.2" thickBot="1" x14ac:dyDescent="0.35">
      <c r="B104" s="9" t="s">
        <v>368</v>
      </c>
      <c r="C104" s="59" t="s">
        <v>176</v>
      </c>
      <c r="D104" s="10"/>
      <c r="E104" s="40"/>
      <c r="F104" s="40"/>
      <c r="G104" s="40"/>
      <c r="H104" s="40">
        <f>H152/'[1]Bevs(2000-2015)'!O245</f>
        <v>2.995891052202708E-2</v>
      </c>
      <c r="I104" s="40">
        <f>I152/'[1]Bevs(2000-2015)'!P245</f>
        <v>0.26365980719638621</v>
      </c>
      <c r="J104" s="40">
        <f>J152/'[1]Bevs(2000-2015)'!Q245</f>
        <v>0.3413309739426113</v>
      </c>
      <c r="K104" s="183">
        <v>0.49</v>
      </c>
      <c r="L104" s="394">
        <f t="shared" si="0"/>
        <v>0.52645640331702581</v>
      </c>
      <c r="M104" s="394">
        <f t="shared" si="1"/>
        <v>0.51203692979698534</v>
      </c>
      <c r="N104" s="394">
        <f t="shared" si="2"/>
        <v>0.51207002991784467</v>
      </c>
      <c r="O104" s="394"/>
      <c r="P104" s="191" t="s">
        <v>176</v>
      </c>
      <c r="Q104" s="191">
        <v>57642</v>
      </c>
      <c r="R104" s="191">
        <v>60439</v>
      </c>
      <c r="S104" s="549">
        <v>63173</v>
      </c>
      <c r="T104" s="537" t="s">
        <v>176</v>
      </c>
    </row>
    <row r="105" spans="2:20" s="6" customFormat="1" ht="16.2" thickBot="1" x14ac:dyDescent="0.35">
      <c r="B105" s="44" t="s">
        <v>368</v>
      </c>
      <c r="C105" s="45" t="s">
        <v>237</v>
      </c>
      <c r="D105" s="19"/>
      <c r="E105" s="47"/>
      <c r="F105" s="47"/>
      <c r="G105" s="47"/>
      <c r="H105" s="47">
        <f>H153/'[1]Bevs(2000-2015)'!O251</f>
        <v>6.1680530850916529E-2</v>
      </c>
      <c r="I105" s="47">
        <f>I153/'[1]Bevs(2000-2015)'!P251</f>
        <v>0.33604243670178202</v>
      </c>
      <c r="J105" s="47">
        <f>J153/'[1]Bevs(2000-2015)'!Q251</f>
        <v>0.6361937723610035</v>
      </c>
      <c r="K105" s="183">
        <v>0.75</v>
      </c>
      <c r="L105" s="394">
        <f t="shared" si="0"/>
        <v>0.95956264995562957</v>
      </c>
      <c r="M105" s="394">
        <f t="shared" si="1"/>
        <v>0.95986498211753746</v>
      </c>
      <c r="N105" s="394">
        <f t="shared" si="2"/>
        <v>2.3549492857789081</v>
      </c>
      <c r="O105" s="394"/>
      <c r="P105" s="191" t="s">
        <v>237</v>
      </c>
      <c r="Q105" s="191">
        <v>91277</v>
      </c>
      <c r="R105" s="191">
        <v>94506</v>
      </c>
      <c r="S105" s="549">
        <v>99479</v>
      </c>
      <c r="T105" s="537" t="s">
        <v>237</v>
      </c>
    </row>
    <row r="106" spans="2:20" s="6" customFormat="1" ht="16.2" thickBot="1" x14ac:dyDescent="0.35">
      <c r="B106" s="9" t="s">
        <v>368</v>
      </c>
      <c r="C106" s="59" t="s">
        <v>178</v>
      </c>
      <c r="D106" s="10"/>
      <c r="E106" s="40"/>
      <c r="F106" s="40"/>
      <c r="G106" s="40"/>
      <c r="H106" s="40">
        <f>H154/'[1]Bevs(2000-2015)'!O248</f>
        <v>0.12760958771420017</v>
      </c>
      <c r="I106" s="40">
        <f>I154/'[1]Bevs(2000-2015)'!P248</f>
        <v>0.53333848330881239</v>
      </c>
      <c r="J106" s="40">
        <f>J154/'[1]Bevs(2000-2015)'!Q248</f>
        <v>0.66102864311101817</v>
      </c>
      <c r="K106" s="183">
        <v>0.68</v>
      </c>
      <c r="L106" s="394">
        <f t="shared" si="0"/>
        <v>0.75333148906596858</v>
      </c>
      <c r="M106" s="394">
        <f t="shared" si="1"/>
        <v>0.77152675934498904</v>
      </c>
      <c r="N106" s="394">
        <f t="shared" si="2"/>
        <v>0.28025779456558375</v>
      </c>
      <c r="O106" s="394"/>
      <c r="P106" s="191" t="s">
        <v>178</v>
      </c>
      <c r="Q106" s="191">
        <v>296414</v>
      </c>
      <c r="R106" s="191">
        <v>295934</v>
      </c>
      <c r="S106" s="549">
        <v>314514</v>
      </c>
      <c r="T106" s="537" t="s">
        <v>178</v>
      </c>
    </row>
    <row r="107" spans="2:20" s="6" customFormat="1" ht="16.2" thickBot="1" x14ac:dyDescent="0.35">
      <c r="B107" s="44" t="s">
        <v>368</v>
      </c>
      <c r="C107" s="45" t="s">
        <v>238</v>
      </c>
      <c r="D107" s="19"/>
      <c r="E107" s="47"/>
      <c r="F107" s="47"/>
      <c r="G107" s="47"/>
      <c r="H107" s="47"/>
      <c r="I107" s="47">
        <f>I155/'[1]Bevs(2000-2015)'!P254</f>
        <v>0.20597652081109924</v>
      </c>
      <c r="J107" s="47">
        <f>J155/'[1]Bevs(2000-2015)'!Q254</f>
        <v>0.17091012484814019</v>
      </c>
      <c r="K107" s="183">
        <v>0.74</v>
      </c>
      <c r="L107" s="394">
        <f t="shared" si="0"/>
        <v>0.53538230496362083</v>
      </c>
      <c r="M107" s="394">
        <f t="shared" si="1"/>
        <v>0.60448211614663971</v>
      </c>
      <c r="N107" s="394">
        <f t="shared" si="2"/>
        <v>0.78501878402208081</v>
      </c>
      <c r="O107" s="394"/>
      <c r="P107" s="191" t="s">
        <v>238</v>
      </c>
      <c r="Q107" s="191">
        <v>38621</v>
      </c>
      <c r="R107" s="191">
        <v>38107</v>
      </c>
      <c r="S107" s="549">
        <v>39129</v>
      </c>
      <c r="T107" s="537" t="s">
        <v>238</v>
      </c>
    </row>
    <row r="108" spans="2:20" s="6" customFormat="1" ht="16.2" thickBot="1" x14ac:dyDescent="0.35">
      <c r="B108" s="9" t="s">
        <v>368</v>
      </c>
      <c r="C108" s="59" t="s">
        <v>239</v>
      </c>
      <c r="D108" s="10"/>
      <c r="E108" s="40"/>
      <c r="F108" s="40"/>
      <c r="G108" s="40"/>
      <c r="H108" s="40">
        <f>H156/'[1]Bevs(2000-2015)'!O257</f>
        <v>0.38416841303105354</v>
      </c>
      <c r="I108" s="40">
        <f>I156/'[1]Bevs(2000-2015)'!P257</f>
        <v>1.0594776478128505</v>
      </c>
      <c r="J108" s="40">
        <f>J156/'[1]Bevs(2000-2015)'!Q257</f>
        <v>1.368452049864215</v>
      </c>
      <c r="K108" s="183">
        <v>0.39</v>
      </c>
      <c r="L108" s="394">
        <f t="shared" si="0"/>
        <v>1.7123240996286075</v>
      </c>
      <c r="M108" s="394">
        <f t="shared" si="1"/>
        <v>1.7051865042770376</v>
      </c>
      <c r="N108" s="394">
        <f t="shared" si="2"/>
        <v>1.8124280084874205</v>
      </c>
      <c r="O108" s="394"/>
      <c r="P108" s="191" t="s">
        <v>239</v>
      </c>
      <c r="Q108" s="191">
        <v>29349</v>
      </c>
      <c r="R108" s="615">
        <v>31447</v>
      </c>
      <c r="S108" s="549">
        <v>32990</v>
      </c>
      <c r="T108" s="537" t="s">
        <v>239</v>
      </c>
    </row>
    <row r="109" spans="2:20" s="6" customFormat="1" ht="16.2" thickBot="1" x14ac:dyDescent="0.35">
      <c r="B109" s="44" t="s">
        <v>368</v>
      </c>
      <c r="C109" s="45" t="s">
        <v>240</v>
      </c>
      <c r="D109" s="19"/>
      <c r="E109" s="47"/>
      <c r="F109" s="47"/>
      <c r="G109" s="47"/>
      <c r="H109" s="393"/>
      <c r="I109" s="393">
        <f>I157/'[1]Bevs(2000-2015)'!P260</f>
        <v>5.5407468879668048E-2</v>
      </c>
      <c r="J109" s="393">
        <f>J157/'[1]Bevs(2000-2015)'!Q260</f>
        <v>0.61777185331719753</v>
      </c>
      <c r="K109" s="183">
        <v>1.46</v>
      </c>
      <c r="L109" s="394">
        <f t="shared" si="0"/>
        <v>0.79910329456308182</v>
      </c>
      <c r="M109" s="394">
        <f t="shared" si="1"/>
        <v>0.88594322309007234</v>
      </c>
      <c r="N109" s="394">
        <f t="shared" si="2"/>
        <v>0.90024606427195719</v>
      </c>
      <c r="O109" s="394"/>
      <c r="P109" s="191" t="s">
        <v>240</v>
      </c>
      <c r="Q109" s="191">
        <v>2513869</v>
      </c>
      <c r="R109" s="191">
        <v>2463431</v>
      </c>
      <c r="S109" s="549">
        <v>2614764</v>
      </c>
      <c r="T109" s="537" t="s">
        <v>512</v>
      </c>
    </row>
    <row r="110" spans="2:20" s="6" customFormat="1" ht="16.2" thickBot="1" x14ac:dyDescent="0.35">
      <c r="B110" s="9" t="s">
        <v>368</v>
      </c>
      <c r="C110" s="59" t="s">
        <v>241</v>
      </c>
      <c r="D110" s="10"/>
      <c r="E110" s="40"/>
      <c r="F110" s="40"/>
      <c r="G110" s="40"/>
      <c r="H110" s="40"/>
      <c r="I110" s="40">
        <f>I158/'[1]Bevs(2000-2015)'!P263</f>
        <v>0.46215517241379311</v>
      </c>
      <c r="J110" s="40">
        <f>J158/'[1]Bevs(2000-2015)'!Q263</f>
        <v>1.110267471958585</v>
      </c>
      <c r="K110" s="183">
        <v>1.07</v>
      </c>
      <c r="L110" s="394">
        <f t="shared" si="0"/>
        <v>1.2712742601211908</v>
      </c>
      <c r="M110" s="394">
        <f t="shared" si="1"/>
        <v>1.5871318531943814</v>
      </c>
      <c r="N110" s="394">
        <f t="shared" si="2"/>
        <v>1.7045079475375662</v>
      </c>
      <c r="O110" s="394"/>
      <c r="P110" s="191" t="s">
        <v>241</v>
      </c>
      <c r="Q110" s="191">
        <v>11387</v>
      </c>
      <c r="R110" s="191">
        <v>11035</v>
      </c>
      <c r="S110" s="551">
        <v>11513</v>
      </c>
      <c r="T110" s="537" t="s">
        <v>241</v>
      </c>
    </row>
    <row r="111" spans="2:20" s="6" customFormat="1" ht="16.2" thickBot="1" x14ac:dyDescent="0.35">
      <c r="B111" s="44" t="s">
        <v>368</v>
      </c>
      <c r="C111" s="45" t="s">
        <v>183</v>
      </c>
      <c r="D111" s="19"/>
      <c r="E111" s="47"/>
      <c r="F111" s="47"/>
      <c r="G111" s="47"/>
      <c r="H111" s="47">
        <f>H159/'[1]Bevs(2000-2015)'!O266</f>
        <v>0.20317268266451569</v>
      </c>
      <c r="I111" s="47">
        <f>I159/'[1]Bevs(2000-2015)'!P266</f>
        <v>1.1504868968928159</v>
      </c>
      <c r="J111" s="47">
        <f>J159/'[1]Bevs(2000-2015)'!Q266</f>
        <v>1.1767237377823163</v>
      </c>
      <c r="K111" s="183">
        <v>1.25</v>
      </c>
      <c r="L111" s="394">
        <f t="shared" si="0"/>
        <v>1.3940170276634838</v>
      </c>
      <c r="M111" s="394">
        <f t="shared" si="1"/>
        <v>1.5472966897455329</v>
      </c>
      <c r="N111" s="394">
        <f t="shared" si="2"/>
        <v>1.4597472935147573</v>
      </c>
      <c r="O111" s="394"/>
      <c r="P111" s="191" t="s">
        <v>183</v>
      </c>
      <c r="Q111" s="191">
        <v>154572</v>
      </c>
      <c r="R111" s="191">
        <v>155698</v>
      </c>
      <c r="S111" s="549">
        <v>164697</v>
      </c>
      <c r="T111" s="537" t="s">
        <v>183</v>
      </c>
    </row>
    <row r="112" spans="2:20" s="6" customFormat="1" ht="16.2" thickBot="1" x14ac:dyDescent="0.35">
      <c r="B112" s="9" t="s">
        <v>368</v>
      </c>
      <c r="C112" s="59" t="s">
        <v>184</v>
      </c>
      <c r="D112" s="10"/>
      <c r="E112" s="40"/>
      <c r="F112" s="40"/>
      <c r="G112" s="40"/>
      <c r="H112" s="40">
        <f>H160/'[1]Bevs(2000-2015)'!O269</f>
        <v>0.34168780570693402</v>
      </c>
      <c r="I112" s="40">
        <f>I160/'[1]Bevs(2000-2015)'!P269</f>
        <v>0.75529961203069695</v>
      </c>
      <c r="J112" s="40">
        <f>J160/'[1]Bevs(2000-2015)'!Q269</f>
        <v>1.0490790067169729</v>
      </c>
      <c r="K112" s="183">
        <v>1.19</v>
      </c>
      <c r="L112" s="394">
        <f t="shared" si="0"/>
        <v>1.3393192807405394</v>
      </c>
      <c r="M112" s="394">
        <f t="shared" si="1"/>
        <v>1.369905398677004</v>
      </c>
      <c r="N112" s="394">
        <f t="shared" si="2"/>
        <v>1.3926002750659481</v>
      </c>
      <c r="O112" s="394"/>
      <c r="P112" s="191" t="s">
        <v>184</v>
      </c>
      <c r="Q112" s="191">
        <v>84587</v>
      </c>
      <c r="R112" s="191">
        <v>84354</v>
      </c>
      <c r="S112" s="549">
        <v>88706</v>
      </c>
      <c r="T112" s="537" t="s">
        <v>184</v>
      </c>
    </row>
    <row r="113" spans="2:20" s="6" customFormat="1" ht="16.2" thickBot="1" x14ac:dyDescent="0.35">
      <c r="B113" s="44" t="s">
        <v>368</v>
      </c>
      <c r="C113" s="45" t="s">
        <v>185</v>
      </c>
      <c r="D113" s="19"/>
      <c r="E113" s="47"/>
      <c r="F113" s="47"/>
      <c r="G113" s="47"/>
      <c r="H113" s="47"/>
      <c r="I113" s="47"/>
      <c r="J113" s="47">
        <f>J161/'[1]Bevs(2000-2015)'!Q272</f>
        <v>0.18734511812324467</v>
      </c>
      <c r="K113" s="183">
        <v>0.13</v>
      </c>
      <c r="L113" s="394">
        <f t="shared" si="0"/>
        <v>0.16837334228638576</v>
      </c>
      <c r="M113" s="394">
        <f t="shared" si="1"/>
        <v>0.19766363804932319</v>
      </c>
      <c r="N113" s="394">
        <f t="shared" si="2"/>
        <v>8.0381226398129835E-2</v>
      </c>
      <c r="O113" s="394"/>
      <c r="P113" s="191" t="s">
        <v>185</v>
      </c>
      <c r="Q113" s="191">
        <v>5957</v>
      </c>
      <c r="R113" s="191">
        <v>5393</v>
      </c>
      <c r="S113" s="549">
        <v>5561</v>
      </c>
      <c r="T113" s="537" t="s">
        <v>185</v>
      </c>
    </row>
    <row r="114" spans="2:20" s="6" customFormat="1" ht="16.2" thickBot="1" x14ac:dyDescent="0.35">
      <c r="B114" s="9" t="s">
        <v>368</v>
      </c>
      <c r="C114" s="59" t="s">
        <v>242</v>
      </c>
      <c r="D114" s="10"/>
      <c r="E114" s="40"/>
      <c r="F114" s="40"/>
      <c r="G114" s="40"/>
      <c r="H114" s="40">
        <f>H162/'[1]Bevs(2000-2015)'!O275</f>
        <v>0.38247651245115694</v>
      </c>
      <c r="I114" s="40">
        <f>I162/'[1]Bevs(2000-2015)'!P275</f>
        <v>0.66560501751721102</v>
      </c>
      <c r="J114" s="40">
        <f>J162/'[1]Bevs(2000-2015)'!Q275</f>
        <v>0.96534897476340698</v>
      </c>
      <c r="K114" s="183">
        <v>1.1599999999999999</v>
      </c>
      <c r="L114" s="394">
        <f t="shared" si="0"/>
        <v>1.5006537065773879</v>
      </c>
      <c r="M114" s="394">
        <f t="shared" si="1"/>
        <v>1.5407482354074824</v>
      </c>
      <c r="N114" s="394">
        <f t="shared" si="2"/>
        <v>1.6768156297073995</v>
      </c>
      <c r="O114" s="394"/>
      <c r="P114" s="191" t="s">
        <v>242</v>
      </c>
      <c r="Q114" s="191">
        <v>81841</v>
      </c>
      <c r="R114" s="191">
        <v>83022</v>
      </c>
      <c r="S114" s="549">
        <v>87628</v>
      </c>
      <c r="T114" s="537" t="s">
        <v>242</v>
      </c>
    </row>
    <row r="115" spans="2:20" s="6" customFormat="1" ht="16.2" thickBot="1" x14ac:dyDescent="0.35">
      <c r="B115" s="44" t="s">
        <v>368</v>
      </c>
      <c r="C115" s="45" t="s">
        <v>187</v>
      </c>
      <c r="D115" s="19"/>
      <c r="E115" s="47"/>
      <c r="F115" s="47"/>
      <c r="G115" s="47"/>
      <c r="H115" s="47">
        <f>H163/'[1]Bevs(2000-2015)'!O278</f>
        <v>3.0064110866468072E-2</v>
      </c>
      <c r="I115" s="47">
        <f>I163/'[1]Bevs(2000-2015)'!P278</f>
        <v>0.36872305351255391</v>
      </c>
      <c r="J115" s="47">
        <f>J163/'[1]Bevs(2000-2015)'!Q278</f>
        <v>0.46834677419354837</v>
      </c>
      <c r="K115" s="183">
        <v>0.62</v>
      </c>
      <c r="L115" s="394">
        <f t="shared" si="0"/>
        <v>0.64509214931631154</v>
      </c>
      <c r="M115" s="394">
        <f t="shared" si="1"/>
        <v>0.70561787042038704</v>
      </c>
      <c r="N115" s="394">
        <f t="shared" si="2"/>
        <v>0.62068755611693627</v>
      </c>
      <c r="O115" s="394"/>
      <c r="P115" s="191" t="s">
        <v>187</v>
      </c>
      <c r="Q115" s="191">
        <v>63918</v>
      </c>
      <c r="R115" s="191">
        <v>62942</v>
      </c>
      <c r="S115" s="549">
        <v>65711</v>
      </c>
      <c r="T115" s="537" t="s">
        <v>187</v>
      </c>
    </row>
    <row r="116" spans="2:20" s="6" customFormat="1" ht="16.2" thickBot="1" x14ac:dyDescent="0.35">
      <c r="B116" s="9" t="s">
        <v>368</v>
      </c>
      <c r="C116" s="59" t="s">
        <v>188</v>
      </c>
      <c r="D116" s="10"/>
      <c r="E116" s="40"/>
      <c r="F116" s="40"/>
      <c r="G116" s="40"/>
      <c r="H116" s="40">
        <f>H164/'[1]Bevs(2000-2015)'!O281</f>
        <v>0.20730130309360389</v>
      </c>
      <c r="I116" s="40">
        <f>I164/'[1]Bevs(2000-2015)'!P281</f>
        <v>0.43357590966122961</v>
      </c>
      <c r="J116" s="40">
        <f>J164/'[1]Bevs(2000-2015)'!Q281</f>
        <v>0.49005524861878452</v>
      </c>
      <c r="K116" s="183">
        <v>0.65</v>
      </c>
      <c r="L116" s="394">
        <f t="shared" si="0"/>
        <v>0.84626850328947367</v>
      </c>
      <c r="M116" s="394">
        <f t="shared" si="1"/>
        <v>0.80094668659691082</v>
      </c>
      <c r="N116" s="394">
        <f t="shared" si="2"/>
        <v>0.86555655423624578</v>
      </c>
      <c r="O116" s="394"/>
      <c r="P116" s="191" t="s">
        <v>188</v>
      </c>
      <c r="Q116" s="191">
        <v>19456</v>
      </c>
      <c r="R116" s="191">
        <v>20070</v>
      </c>
      <c r="S116" s="549">
        <v>21139</v>
      </c>
      <c r="T116" s="537" t="s">
        <v>188</v>
      </c>
    </row>
    <row r="117" spans="2:20" s="6" customFormat="1" ht="29.4" thickBot="1" x14ac:dyDescent="0.35">
      <c r="B117" s="44" t="s">
        <v>368</v>
      </c>
      <c r="C117" s="45" t="s">
        <v>243</v>
      </c>
      <c r="D117" s="19"/>
      <c r="E117" s="47"/>
      <c r="F117" s="47"/>
      <c r="G117" s="47"/>
      <c r="H117" s="47"/>
      <c r="I117" s="47">
        <f>I165/'[1]Bevs(2000-2015)'!P284</f>
        <v>0.302191403768791</v>
      </c>
      <c r="J117" s="47">
        <f>J165/'[1]Bevs(2000-2015)'!Q284</f>
        <v>0.41772766508416054</v>
      </c>
      <c r="K117" s="183">
        <v>0.65</v>
      </c>
      <c r="L117" s="394">
        <f t="shared" si="0"/>
        <v>0.76421604973478585</v>
      </c>
      <c r="M117" s="394">
        <f t="shared" si="1"/>
        <v>0.85545690178128275</v>
      </c>
      <c r="N117" s="394">
        <f t="shared" si="2"/>
        <v>0.77872069587355464</v>
      </c>
      <c r="O117" s="394"/>
      <c r="P117" s="191" t="s">
        <v>243</v>
      </c>
      <c r="Q117" s="191">
        <v>17533</v>
      </c>
      <c r="R117" s="191">
        <v>18133</v>
      </c>
      <c r="S117" s="549">
        <v>18854</v>
      </c>
      <c r="T117" s="537" t="s">
        <v>243</v>
      </c>
    </row>
    <row r="118" spans="2:20" s="6" customFormat="1" ht="16.2" thickBot="1" x14ac:dyDescent="0.35">
      <c r="B118" s="9" t="s">
        <v>368</v>
      </c>
      <c r="C118" s="59" t="s">
        <v>244</v>
      </c>
      <c r="D118" s="10"/>
      <c r="E118" s="40"/>
      <c r="F118" s="40"/>
      <c r="G118" s="40"/>
      <c r="H118" s="40">
        <f>H166/'[1]Bevs(2000-2015)'!O287</f>
        <v>7.0052893984258346E-2</v>
      </c>
      <c r="I118" s="40">
        <f>I166/'[1]Bevs(2000-2015)'!P287</f>
        <v>0.51442710128514457</v>
      </c>
      <c r="J118" s="40">
        <f>J166/'[1]Bevs(2000-2015)'!Q287</f>
        <v>0.81417769838745202</v>
      </c>
      <c r="K118" s="183">
        <v>1.19</v>
      </c>
      <c r="L118" s="394">
        <f t="shared" si="0"/>
        <v>1.2256179107434741</v>
      </c>
      <c r="M118" s="394">
        <f t="shared" si="1"/>
        <v>1.1990390249619125</v>
      </c>
      <c r="N118" s="394">
        <f t="shared" si="2"/>
        <v>1.2373591415193674</v>
      </c>
      <c r="O118" s="394"/>
      <c r="P118" s="191" t="s">
        <v>244</v>
      </c>
      <c r="Q118" s="191">
        <v>40378</v>
      </c>
      <c r="R118" s="191">
        <v>42665</v>
      </c>
      <c r="S118" s="549">
        <v>44637</v>
      </c>
      <c r="T118" s="537" t="s">
        <v>244</v>
      </c>
    </row>
    <row r="119" spans="2:20" s="6" customFormat="1" ht="16.2" thickBot="1" x14ac:dyDescent="0.35">
      <c r="B119" s="44" t="s">
        <v>368</v>
      </c>
      <c r="C119" s="45" t="s">
        <v>346</v>
      </c>
      <c r="D119" s="19"/>
      <c r="E119" s="47"/>
      <c r="F119" s="47"/>
      <c r="G119" s="47"/>
      <c r="H119" s="47">
        <f>H167/'[1]Bevs(2000-2015)'!O293</f>
        <v>6.9773265343289023E-2</v>
      </c>
      <c r="I119" s="47">
        <v>0.45</v>
      </c>
      <c r="J119" s="47">
        <f>J167/'[1]Bevs(2000-2015)'!Q293</f>
        <v>0.35824876251610427</v>
      </c>
      <c r="K119" s="183">
        <v>0.44</v>
      </c>
      <c r="L119" s="394">
        <f t="shared" si="0"/>
        <v>0.49777767998591799</v>
      </c>
      <c r="M119" s="394">
        <f t="shared" si="1"/>
        <v>0.46345503794408005</v>
      </c>
      <c r="N119" s="394">
        <f t="shared" si="2"/>
        <v>0.50166856756642586</v>
      </c>
      <c r="O119" s="394"/>
      <c r="P119" s="191" t="s">
        <v>346</v>
      </c>
      <c r="Q119" s="191">
        <v>45448</v>
      </c>
      <c r="R119" s="191">
        <v>44671</v>
      </c>
      <c r="S119" s="549">
        <v>47346</v>
      </c>
      <c r="T119" s="537" t="s">
        <v>346</v>
      </c>
    </row>
    <row r="120" spans="2:20" s="6" customFormat="1" ht="16.2" thickBot="1" x14ac:dyDescent="0.35">
      <c r="B120" s="9" t="s">
        <v>368</v>
      </c>
      <c r="C120" s="27" t="s">
        <v>191</v>
      </c>
      <c r="D120" s="10"/>
      <c r="E120" s="40"/>
      <c r="F120" s="40"/>
      <c r="G120" s="40"/>
      <c r="H120" s="40">
        <f>H168/'[1]Bevs(2000-2015)'!O296</f>
        <v>0.15737602877100768</v>
      </c>
      <c r="I120" s="40">
        <f>I168/'[1]Bevs(2000-2015)'!P296</f>
        <v>0.65979806305378119</v>
      </c>
      <c r="J120" s="40">
        <f>J168/'[1]Bevs(2000-2015)'!Q296</f>
        <v>0.8660045363942539</v>
      </c>
      <c r="K120" s="183">
        <v>0.98</v>
      </c>
      <c r="L120" s="394">
        <f t="shared" si="0"/>
        <v>1.2244233471570072</v>
      </c>
      <c r="M120" s="394">
        <f t="shared" si="1"/>
        <v>1.2608274941608275</v>
      </c>
      <c r="N120" s="394">
        <f t="shared" si="2"/>
        <v>0.93404995257666767</v>
      </c>
      <c r="O120" s="394"/>
      <c r="P120" s="191" t="s">
        <v>191</v>
      </c>
      <c r="Q120" s="191">
        <v>29177</v>
      </c>
      <c r="R120" s="191">
        <v>29970</v>
      </c>
      <c r="S120" s="549">
        <v>31630</v>
      </c>
      <c r="T120" s="537" t="s">
        <v>191</v>
      </c>
    </row>
    <row r="121" spans="2:20" s="6" customFormat="1" ht="16.2" thickBot="1" x14ac:dyDescent="0.35">
      <c r="B121" s="44" t="s">
        <v>368</v>
      </c>
      <c r="C121" s="45" t="s">
        <v>245</v>
      </c>
      <c r="D121" s="19"/>
      <c r="E121" s="47"/>
      <c r="F121" s="47"/>
      <c r="G121" s="47"/>
      <c r="H121" s="47">
        <f>H169/'[1]Bevs(2000-2015)'!O299</f>
        <v>0.1309847743671273</v>
      </c>
      <c r="I121" s="47">
        <f>I169/'[1]Bevs(2000-2015)'!P299</f>
        <v>0.54103833402087054</v>
      </c>
      <c r="J121" s="47">
        <f>J169/'[1]Bevs(2000-2015)'!Q299</f>
        <v>0.67410612616716015</v>
      </c>
      <c r="K121" s="183">
        <v>0.69</v>
      </c>
      <c r="L121" s="394">
        <f t="shared" si="0"/>
        <v>0.81296033515778088</v>
      </c>
      <c r="M121" s="394">
        <f t="shared" si="1"/>
        <v>0.92237473900032418</v>
      </c>
      <c r="N121" s="394">
        <f t="shared" si="2"/>
        <v>0.93155768709230791</v>
      </c>
      <c r="O121" s="394"/>
      <c r="P121" s="191" t="s">
        <v>245</v>
      </c>
      <c r="Q121" s="191">
        <v>133191</v>
      </c>
      <c r="R121" s="191">
        <v>132663</v>
      </c>
      <c r="S121" s="559">
        <v>140118</v>
      </c>
      <c r="T121" s="537" t="s">
        <v>245</v>
      </c>
    </row>
    <row r="122" spans="2:20" s="6" customFormat="1" ht="16.8" thickTop="1" thickBot="1" x14ac:dyDescent="0.35">
      <c r="B122" s="607" t="s">
        <v>368</v>
      </c>
      <c r="C122" s="392" t="s">
        <v>214</v>
      </c>
      <c r="D122" s="608"/>
      <c r="E122" s="609"/>
      <c r="F122" s="609"/>
      <c r="G122" s="609"/>
      <c r="H122" s="609">
        <f>H136/'[1]Bevs(2000-2015)'!O300</f>
        <v>0.13452840643509792</v>
      </c>
      <c r="I122" s="609">
        <f>I136/'[1]Bevs(2000-2015)'!P300</f>
        <v>0.53527082395892311</v>
      </c>
      <c r="J122" s="609">
        <f>J136/'[1]Bevs(2000-2015)'!Q300</f>
        <v>0.69927105098060605</v>
      </c>
      <c r="K122" s="609">
        <v>0.83</v>
      </c>
      <c r="L122" s="609">
        <f t="shared" si="0"/>
        <v>0.90233965561868446</v>
      </c>
      <c r="M122" s="609">
        <f t="shared" si="1"/>
        <v>0.97779781005173128</v>
      </c>
      <c r="N122" s="609">
        <f t="shared" si="2"/>
        <v>0.99837993747733123</v>
      </c>
      <c r="O122" s="609"/>
      <c r="P122" s="191" t="s">
        <v>497</v>
      </c>
      <c r="Q122" s="191">
        <f>SUM(Q94:Q121)</f>
        <v>4682484</v>
      </c>
      <c r="R122" s="191">
        <v>4648055</v>
      </c>
      <c r="S122" s="612">
        <f>SUM(S94:S121)</f>
        <v>4921415</v>
      </c>
      <c r="T122" s="198" t="s">
        <v>513</v>
      </c>
    </row>
    <row r="123" spans="2:20" s="6" customFormat="1" x14ac:dyDescent="0.3">
      <c r="B123" s="693" t="s">
        <v>16</v>
      </c>
      <c r="C123" s="690"/>
      <c r="D123" s="37"/>
      <c r="E123" s="37"/>
      <c r="F123" s="37"/>
      <c r="G123" s="37"/>
      <c r="H123" s="37">
        <v>113</v>
      </c>
      <c r="I123" s="37">
        <v>148</v>
      </c>
      <c r="J123" s="37">
        <v>162</v>
      </c>
      <c r="K123" s="37">
        <v>176</v>
      </c>
      <c r="L123" s="210">
        <v>197</v>
      </c>
      <c r="M123" s="6">
        <v>202</v>
      </c>
      <c r="N123" s="210">
        <v>215</v>
      </c>
      <c r="P123" s="616" t="s">
        <v>786</v>
      </c>
    </row>
    <row r="124" spans="2:20" s="6" customFormat="1" x14ac:dyDescent="0.3">
      <c r="B124" s="693" t="s">
        <v>366</v>
      </c>
      <c r="C124" s="690"/>
      <c r="D124" s="37"/>
      <c r="E124" s="37"/>
      <c r="F124" s="37"/>
      <c r="G124" s="37"/>
      <c r="H124" s="37"/>
      <c r="I124" s="37">
        <v>40</v>
      </c>
      <c r="J124" s="37">
        <v>51</v>
      </c>
      <c r="K124" s="37">
        <v>56</v>
      </c>
      <c r="L124" s="210">
        <v>3432</v>
      </c>
      <c r="M124" s="210">
        <v>71</v>
      </c>
      <c r="N124" s="210"/>
      <c r="O124" s="210"/>
    </row>
    <row r="125" spans="2:20" s="6" customFormat="1" x14ac:dyDescent="0.3">
      <c r="B125" s="693" t="s">
        <v>365</v>
      </c>
      <c r="C125" s="690"/>
      <c r="D125" s="37"/>
      <c r="E125" s="37"/>
      <c r="F125" s="37"/>
      <c r="G125" s="37"/>
      <c r="H125" s="37"/>
      <c r="I125" s="37">
        <v>146</v>
      </c>
      <c r="J125" s="37">
        <v>145</v>
      </c>
      <c r="K125" s="37">
        <v>171</v>
      </c>
      <c r="L125" s="6" t="s">
        <v>514</v>
      </c>
      <c r="M125" s="210">
        <v>197</v>
      </c>
      <c r="N125" s="210"/>
      <c r="O125" s="210"/>
    </row>
    <row r="126" spans="2:20" s="6" customFormat="1" x14ac:dyDescent="0.3">
      <c r="B126" s="698" t="s">
        <v>367</v>
      </c>
      <c r="C126" s="690"/>
      <c r="D126" s="37"/>
      <c r="E126" s="37"/>
      <c r="F126" s="37"/>
      <c r="G126" s="37"/>
      <c r="H126" s="42">
        <v>0.96</v>
      </c>
      <c r="I126" s="42">
        <v>0.96</v>
      </c>
      <c r="J126" s="42">
        <v>0.98199999999999998</v>
      </c>
      <c r="K126" s="42">
        <v>0.98199999999999998</v>
      </c>
      <c r="L126" s="60">
        <v>0.995</v>
      </c>
      <c r="M126" s="60">
        <v>0.995</v>
      </c>
      <c r="N126" s="60">
        <v>0.98199999999999998</v>
      </c>
      <c r="O126" s="60"/>
    </row>
    <row r="127" spans="2:20" s="6" customFormat="1" x14ac:dyDescent="0.3">
      <c r="B127" s="492" t="s">
        <v>498</v>
      </c>
      <c r="C127" s="489"/>
      <c r="D127" s="37"/>
      <c r="E127" s="37"/>
      <c r="F127" s="37"/>
      <c r="G127" s="37"/>
      <c r="H127" s="42"/>
      <c r="I127" s="42"/>
      <c r="J127" s="42"/>
      <c r="K127" s="391">
        <v>0.73</v>
      </c>
      <c r="L127" s="391">
        <v>0.73</v>
      </c>
      <c r="M127" s="391">
        <v>0.79</v>
      </c>
      <c r="N127" s="391" t="s">
        <v>787</v>
      </c>
    </row>
    <row r="128" spans="2:20" s="6" customFormat="1" x14ac:dyDescent="0.3">
      <c r="B128" s="11" t="s">
        <v>9</v>
      </c>
      <c r="C128" s="11"/>
      <c r="D128" s="21"/>
      <c r="E128" s="21"/>
      <c r="F128" s="21"/>
      <c r="G128" s="21"/>
      <c r="H128" s="21"/>
      <c r="I128" s="21"/>
      <c r="J128" s="21"/>
      <c r="K128" s="21"/>
      <c r="L128" s="21"/>
      <c r="M128" s="21"/>
      <c r="N128" s="21"/>
      <c r="O128" s="21"/>
    </row>
    <row r="129" spans="2:15" s="6" customFormat="1" x14ac:dyDescent="0.3">
      <c r="B129" s="693" t="s">
        <v>29</v>
      </c>
      <c r="C129" s="690"/>
      <c r="D129" s="41"/>
      <c r="E129" s="41"/>
      <c r="F129" s="41"/>
      <c r="G129" s="41"/>
      <c r="H129" s="41"/>
      <c r="I129" s="41">
        <f>11284559</f>
        <v>11284559</v>
      </c>
      <c r="J129" s="41">
        <f>8833374+36109</f>
        <v>8869483</v>
      </c>
      <c r="K129" s="41">
        <v>7547360</v>
      </c>
      <c r="L129" s="41">
        <v>7058602</v>
      </c>
      <c r="M129" s="41">
        <v>6377255</v>
      </c>
      <c r="N129" s="41">
        <v>6765180</v>
      </c>
      <c r="O129" s="41"/>
    </row>
    <row r="130" spans="2:15" s="6" customFormat="1" x14ac:dyDescent="0.3">
      <c r="B130" s="693" t="s">
        <v>30</v>
      </c>
      <c r="C130" s="690"/>
      <c r="D130" s="41"/>
      <c r="E130" s="41"/>
      <c r="F130" s="41"/>
      <c r="G130" s="41"/>
      <c r="H130" s="41"/>
      <c r="I130" s="41">
        <f>3467081</f>
        <v>3467081</v>
      </c>
      <c r="J130" s="41">
        <f>4481202+4192</f>
        <v>4485394</v>
      </c>
      <c r="K130" s="41">
        <v>5006801</v>
      </c>
      <c r="L130" s="41">
        <v>5689593</v>
      </c>
      <c r="M130" s="41">
        <v>6339305</v>
      </c>
      <c r="N130" s="41">
        <v>6460474</v>
      </c>
      <c r="O130" s="41"/>
    </row>
    <row r="131" spans="2:15" s="6" customFormat="1" x14ac:dyDescent="0.3">
      <c r="B131" s="489" t="s">
        <v>600</v>
      </c>
      <c r="C131" s="490"/>
      <c r="D131" s="41"/>
      <c r="E131" s="41"/>
      <c r="F131" s="41"/>
      <c r="G131" s="41"/>
      <c r="H131" s="41"/>
      <c r="I131" s="41"/>
      <c r="J131" s="41"/>
      <c r="K131" s="41">
        <v>3638161</v>
      </c>
      <c r="L131" s="41">
        <v>3965446</v>
      </c>
      <c r="M131" s="41">
        <v>4628728</v>
      </c>
      <c r="N131" s="41">
        <v>4742651</v>
      </c>
      <c r="O131" s="41"/>
    </row>
    <row r="132" spans="2:15" s="6" customFormat="1" x14ac:dyDescent="0.3">
      <c r="B132" s="693" t="s">
        <v>370</v>
      </c>
      <c r="C132" s="690"/>
      <c r="D132" s="41"/>
      <c r="E132" s="41"/>
      <c r="F132" s="41"/>
      <c r="G132" s="41"/>
      <c r="H132" s="41"/>
      <c r="I132" s="41">
        <v>1242880</v>
      </c>
      <c r="J132" s="41">
        <v>1450878</v>
      </c>
      <c r="K132" s="41">
        <v>1368640</v>
      </c>
      <c r="L132" s="41">
        <v>1724147</v>
      </c>
      <c r="M132" s="41">
        <v>1710577</v>
      </c>
      <c r="N132" s="41">
        <v>1717823</v>
      </c>
      <c r="O132" s="41"/>
    </row>
    <row r="133" spans="2:15" s="6" customFormat="1" x14ac:dyDescent="0.3">
      <c r="B133" s="693" t="s">
        <v>7</v>
      </c>
      <c r="C133" s="690"/>
      <c r="D133" s="41"/>
      <c r="E133" s="41"/>
      <c r="F133" s="41"/>
      <c r="G133" s="41"/>
      <c r="H133" s="41">
        <f>H129-H130</f>
        <v>0</v>
      </c>
      <c r="I133" s="41">
        <f>I129-I130</f>
        <v>7817478</v>
      </c>
      <c r="J133" s="41">
        <f>J129-J130</f>
        <v>4384089</v>
      </c>
      <c r="K133" s="41">
        <v>2540559</v>
      </c>
      <c r="L133" s="41">
        <v>1623241</v>
      </c>
      <c r="M133" s="41">
        <v>363928</v>
      </c>
      <c r="N133" s="41">
        <v>304706</v>
      </c>
      <c r="O133" s="41"/>
    </row>
    <row r="134" spans="2:15" s="6" customFormat="1" x14ac:dyDescent="0.3">
      <c r="B134" s="11" t="s">
        <v>8</v>
      </c>
      <c r="C134" s="11"/>
      <c r="D134" s="21"/>
      <c r="E134" s="21"/>
      <c r="F134" s="21"/>
      <c r="G134" s="21"/>
      <c r="H134" s="21"/>
      <c r="I134" s="21"/>
      <c r="J134" s="21"/>
      <c r="K134" s="21"/>
      <c r="L134" s="21"/>
      <c r="M134" s="21"/>
      <c r="N134" s="21"/>
      <c r="O134" s="21"/>
    </row>
    <row r="135" spans="2:15" s="6" customFormat="1" x14ac:dyDescent="0.3">
      <c r="B135" s="705" t="s">
        <v>215</v>
      </c>
      <c r="C135" s="706"/>
      <c r="D135" s="24"/>
      <c r="E135" s="25"/>
      <c r="F135" s="475"/>
      <c r="G135" s="475"/>
      <c r="H135" s="25">
        <v>2145024</v>
      </c>
      <c r="I135" s="25">
        <v>6683285</v>
      </c>
      <c r="J135" s="25">
        <v>7168757</v>
      </c>
      <c r="K135" s="25">
        <v>7280609</v>
      </c>
      <c r="L135" s="14">
        <v>7519401</v>
      </c>
      <c r="M135" s="14">
        <v>7942513</v>
      </c>
      <c r="N135" s="14">
        <v>8334554</v>
      </c>
      <c r="O135" s="14"/>
    </row>
    <row r="136" spans="2:15" s="6" customFormat="1" x14ac:dyDescent="0.3">
      <c r="B136" s="700" t="s">
        <v>379</v>
      </c>
      <c r="C136" s="701"/>
      <c r="D136" s="14"/>
      <c r="E136" s="14"/>
      <c r="F136" s="475"/>
      <c r="G136" s="475"/>
      <c r="H136" s="14">
        <v>605262</v>
      </c>
      <c r="I136" s="148">
        <v>2431472</v>
      </c>
      <c r="J136" s="148">
        <v>3204497</v>
      </c>
      <c r="K136" s="148">
        <v>3672265</v>
      </c>
      <c r="L136" s="148">
        <v>4225141</v>
      </c>
      <c r="M136" s="148">
        <v>4544860</v>
      </c>
      <c r="N136" s="148">
        <v>4913400</v>
      </c>
      <c r="O136" s="148"/>
    </row>
    <row r="137" spans="2:15" s="6" customFormat="1" x14ac:dyDescent="0.3">
      <c r="B137" s="710" t="s">
        <v>844</v>
      </c>
      <c r="C137" s="711"/>
      <c r="D137" s="14"/>
      <c r="E137" s="14"/>
      <c r="F137" s="475"/>
      <c r="G137" s="475"/>
      <c r="H137" s="158">
        <v>605</v>
      </c>
      <c r="I137" s="506">
        <v>2431</v>
      </c>
      <c r="J137" s="506">
        <v>3205</v>
      </c>
      <c r="K137" s="506">
        <v>3672</v>
      </c>
      <c r="L137" s="506">
        <v>4225</v>
      </c>
      <c r="M137" s="506">
        <v>4545</v>
      </c>
      <c r="N137" s="506">
        <v>4913</v>
      </c>
      <c r="O137" s="148"/>
    </row>
    <row r="138" spans="2:15" s="6" customFormat="1" x14ac:dyDescent="0.3">
      <c r="B138" s="700" t="s">
        <v>378</v>
      </c>
      <c r="C138" s="701"/>
      <c r="D138" s="14"/>
      <c r="E138" s="14"/>
      <c r="F138" s="475"/>
      <c r="G138" s="475"/>
      <c r="H138" s="14"/>
      <c r="I138" s="148"/>
      <c r="J138" s="148">
        <f>1911+1123</f>
        <v>3034</v>
      </c>
      <c r="K138" s="148"/>
    </row>
    <row r="139" spans="2:15" s="6" customFormat="1" x14ac:dyDescent="0.3">
      <c r="B139" s="475"/>
      <c r="C139" s="52"/>
      <c r="D139" s="24"/>
      <c r="E139" s="24"/>
      <c r="F139" s="475"/>
      <c r="G139" s="475"/>
      <c r="H139" s="475"/>
      <c r="I139" s="475"/>
      <c r="J139" s="475"/>
      <c r="K139" s="475"/>
    </row>
    <row r="140" spans="2:15" s="6" customFormat="1" x14ac:dyDescent="0.3">
      <c r="B140" s="699" t="s">
        <v>248</v>
      </c>
      <c r="C140" s="699"/>
      <c r="D140" s="39">
        <v>2007</v>
      </c>
      <c r="E140" s="39">
        <v>2008</v>
      </c>
      <c r="F140" s="21">
        <v>2009</v>
      </c>
      <c r="G140" s="21">
        <v>2010</v>
      </c>
      <c r="H140" s="21">
        <v>2011</v>
      </c>
      <c r="I140" s="21">
        <v>2012</v>
      </c>
      <c r="J140" s="21">
        <v>2013</v>
      </c>
      <c r="K140" s="21">
        <v>2014</v>
      </c>
      <c r="L140" s="21">
        <v>2015</v>
      </c>
      <c r="M140" s="21">
        <v>2016</v>
      </c>
      <c r="N140" s="21">
        <v>2017</v>
      </c>
      <c r="O140" s="21"/>
    </row>
    <row r="141" spans="2:15" s="6" customFormat="1" x14ac:dyDescent="0.3">
      <c r="B141" s="32"/>
      <c r="C141" s="32"/>
      <c r="F141" s="32"/>
      <c r="G141" s="32"/>
      <c r="H141" s="32"/>
      <c r="I141" s="32"/>
      <c r="J141" s="32"/>
      <c r="K141" s="32"/>
      <c r="L141" s="32"/>
      <c r="M141" s="32"/>
      <c r="N141" s="32"/>
      <c r="O141" s="32"/>
    </row>
    <row r="142" spans="2:15" s="6" customFormat="1" x14ac:dyDescent="0.3">
      <c r="B142" s="9" t="s">
        <v>369</v>
      </c>
      <c r="C142" s="59" t="s">
        <v>233</v>
      </c>
      <c r="H142" s="7">
        <v>5944</v>
      </c>
      <c r="I142" s="7">
        <v>13796</v>
      </c>
      <c r="J142" s="7">
        <v>15657</v>
      </c>
      <c r="K142" s="7">
        <v>20397</v>
      </c>
      <c r="L142" s="7">
        <v>16217</v>
      </c>
      <c r="M142" s="7">
        <v>14342</v>
      </c>
      <c r="N142" s="7">
        <v>15715</v>
      </c>
      <c r="O142" s="7"/>
    </row>
    <row r="143" spans="2:15" s="6" customFormat="1" x14ac:dyDescent="0.3">
      <c r="B143" s="44" t="s">
        <v>369</v>
      </c>
      <c r="C143" s="45" t="s">
        <v>234</v>
      </c>
      <c r="H143" s="7"/>
      <c r="I143" s="7">
        <v>3574</v>
      </c>
      <c r="J143" s="7">
        <v>9889</v>
      </c>
      <c r="K143" s="7">
        <v>10097</v>
      </c>
      <c r="L143" s="7">
        <v>11849</v>
      </c>
      <c r="M143" s="7">
        <v>17855</v>
      </c>
      <c r="N143" s="7">
        <v>19018</v>
      </c>
      <c r="O143" s="7"/>
    </row>
    <row r="144" spans="2:15" s="6" customFormat="1" x14ac:dyDescent="0.3">
      <c r="B144" s="9" t="s">
        <v>369</v>
      </c>
      <c r="C144" s="59" t="s">
        <v>168</v>
      </c>
      <c r="H144" s="7">
        <v>80506</v>
      </c>
      <c r="I144" s="7">
        <v>277496</v>
      </c>
      <c r="J144" s="7">
        <v>341571</v>
      </c>
      <c r="K144" s="7">
        <v>399296</v>
      </c>
      <c r="L144" s="7">
        <v>425994</v>
      </c>
      <c r="M144" s="7">
        <v>448577</v>
      </c>
      <c r="N144" s="7">
        <v>492545</v>
      </c>
      <c r="O144" s="7"/>
    </row>
    <row r="145" spans="2:15" s="6" customFormat="1" x14ac:dyDescent="0.3">
      <c r="B145" s="44" t="s">
        <v>369</v>
      </c>
      <c r="C145" s="45" t="s">
        <v>169</v>
      </c>
      <c r="H145" s="7"/>
      <c r="I145" s="7">
        <v>9765</v>
      </c>
      <c r="J145" s="7">
        <v>14725</v>
      </c>
      <c r="K145" s="7">
        <v>16426</v>
      </c>
      <c r="L145" s="7">
        <v>26342</v>
      </c>
      <c r="M145" s="7">
        <v>30470</v>
      </c>
      <c r="N145" s="7">
        <v>38824</v>
      </c>
      <c r="O145" s="7"/>
    </row>
    <row r="146" spans="2:15" s="6" customFormat="1" x14ac:dyDescent="0.3">
      <c r="B146" s="9" t="s">
        <v>369</v>
      </c>
      <c r="C146" s="59" t="s">
        <v>170</v>
      </c>
      <c r="H146" s="7"/>
      <c r="I146" s="7">
        <v>505</v>
      </c>
      <c r="J146" s="7">
        <v>1855</v>
      </c>
      <c r="K146" s="7">
        <v>3037</v>
      </c>
      <c r="L146" s="7">
        <v>6835</v>
      </c>
      <c r="M146" s="7">
        <v>4094</v>
      </c>
      <c r="N146" s="7">
        <v>4153</v>
      </c>
      <c r="O146" s="7"/>
    </row>
    <row r="147" spans="2:15" s="6" customFormat="1" x14ac:dyDescent="0.3">
      <c r="B147" s="44" t="s">
        <v>369</v>
      </c>
      <c r="C147" s="45" t="s">
        <v>171</v>
      </c>
      <c r="D147" s="475"/>
      <c r="E147" s="475"/>
      <c r="F147" s="475"/>
      <c r="G147" s="475"/>
      <c r="H147" s="7">
        <v>6575</v>
      </c>
      <c r="I147" s="7">
        <v>21265</v>
      </c>
      <c r="J147" s="7">
        <v>31022</v>
      </c>
      <c r="K147" s="7">
        <v>43713</v>
      </c>
      <c r="L147" s="7">
        <v>41766</v>
      </c>
      <c r="M147" s="7">
        <v>43525</v>
      </c>
      <c r="N147" s="7">
        <v>46523</v>
      </c>
      <c r="O147" s="7"/>
    </row>
    <row r="148" spans="2:15" s="475" customFormat="1" x14ac:dyDescent="0.3">
      <c r="B148" s="9" t="s">
        <v>369</v>
      </c>
      <c r="C148" s="59" t="s">
        <v>172</v>
      </c>
      <c r="H148" s="7">
        <v>32357</v>
      </c>
      <c r="I148" s="7">
        <v>168258</v>
      </c>
      <c r="J148" s="7">
        <v>273069</v>
      </c>
      <c r="K148" s="7">
        <v>335378</v>
      </c>
      <c r="L148" s="7">
        <v>346043</v>
      </c>
      <c r="M148" s="7">
        <v>359412</v>
      </c>
      <c r="N148" s="2">
        <v>402720</v>
      </c>
      <c r="O148" s="7"/>
    </row>
    <row r="149" spans="2:15" s="475" customFormat="1" x14ac:dyDescent="0.3">
      <c r="B149" s="44" t="s">
        <v>369</v>
      </c>
      <c r="C149" s="45" t="s">
        <v>235</v>
      </c>
      <c r="H149" s="7">
        <v>5188</v>
      </c>
      <c r="I149" s="7">
        <v>26249</v>
      </c>
      <c r="J149" s="7">
        <v>31685</v>
      </c>
      <c r="K149" s="7">
        <v>38349</v>
      </c>
      <c r="L149" s="7">
        <v>47059</v>
      </c>
      <c r="M149" s="7">
        <v>42058</v>
      </c>
      <c r="N149" s="2">
        <v>56327</v>
      </c>
      <c r="O149" s="7"/>
    </row>
    <row r="150" spans="2:15" s="475" customFormat="1" x14ac:dyDescent="0.3">
      <c r="B150" s="9" t="s">
        <v>369</v>
      </c>
      <c r="C150" s="27" t="s">
        <v>345</v>
      </c>
      <c r="H150" s="7">
        <v>6255</v>
      </c>
      <c r="I150" s="7"/>
      <c r="J150" s="7">
        <v>36308</v>
      </c>
      <c r="K150" s="7">
        <v>41196</v>
      </c>
      <c r="L150" s="7">
        <v>50222</v>
      </c>
      <c r="M150" s="7">
        <v>70910</v>
      </c>
      <c r="N150" s="2">
        <v>98516</v>
      </c>
      <c r="O150" s="7"/>
    </row>
    <row r="151" spans="2:15" s="475" customFormat="1" x14ac:dyDescent="0.3">
      <c r="B151" s="44" t="s">
        <v>369</v>
      </c>
      <c r="C151" s="45" t="s">
        <v>175</v>
      </c>
      <c r="H151" s="7">
        <v>4353</v>
      </c>
      <c r="I151" s="7">
        <v>43260</v>
      </c>
      <c r="J151" s="7">
        <v>54959</v>
      </c>
      <c r="K151" s="7">
        <v>66098</v>
      </c>
      <c r="L151" s="7">
        <v>77590</v>
      </c>
      <c r="M151" s="7">
        <v>93540</v>
      </c>
      <c r="N151" s="2">
        <v>96123</v>
      </c>
      <c r="O151" s="7"/>
    </row>
    <row r="152" spans="2:15" s="475" customFormat="1" x14ac:dyDescent="0.3">
      <c r="B152" s="9" t="s">
        <v>369</v>
      </c>
      <c r="C152" s="59" t="s">
        <v>176</v>
      </c>
      <c r="H152" s="7">
        <v>1728</v>
      </c>
      <c r="I152" s="7">
        <v>15234</v>
      </c>
      <c r="J152" s="7">
        <v>19675</v>
      </c>
      <c r="K152" s="7">
        <v>27912</v>
      </c>
      <c r="L152" s="7">
        <v>30346</v>
      </c>
      <c r="M152" s="7">
        <v>30947</v>
      </c>
      <c r="N152" s="2">
        <v>32349</v>
      </c>
      <c r="O152" s="7"/>
    </row>
    <row r="153" spans="2:15" s="475" customFormat="1" x14ac:dyDescent="0.3">
      <c r="B153" s="44" t="s">
        <v>369</v>
      </c>
      <c r="C153" s="45" t="s">
        <v>237</v>
      </c>
      <c r="H153" s="7">
        <v>5791</v>
      </c>
      <c r="I153" s="7">
        <v>31548</v>
      </c>
      <c r="J153" s="7">
        <v>59925</v>
      </c>
      <c r="K153" s="7">
        <v>62086</v>
      </c>
      <c r="L153" s="7">
        <v>87586</v>
      </c>
      <c r="M153" s="7">
        <v>90713</v>
      </c>
      <c r="N153" s="2">
        <v>234268</v>
      </c>
      <c r="O153" s="7"/>
    </row>
    <row r="154" spans="2:15" s="475" customFormat="1" x14ac:dyDescent="0.3">
      <c r="B154" s="9" t="s">
        <v>369</v>
      </c>
      <c r="C154" s="59" t="s">
        <v>178</v>
      </c>
      <c r="H154" s="7">
        <v>36229</v>
      </c>
      <c r="I154" s="7">
        <v>151890</v>
      </c>
      <c r="J154" s="7">
        <v>189702</v>
      </c>
      <c r="K154" s="7">
        <v>209100</v>
      </c>
      <c r="L154" s="7">
        <v>223298</v>
      </c>
      <c r="M154" s="7">
        <v>228321</v>
      </c>
      <c r="N154" s="2">
        <v>88145</v>
      </c>
      <c r="O154" s="7"/>
    </row>
    <row r="155" spans="2:15" s="475" customFormat="1" x14ac:dyDescent="0.3">
      <c r="B155" s="44" t="s">
        <v>369</v>
      </c>
      <c r="C155" s="45" t="s">
        <v>238</v>
      </c>
      <c r="H155" s="7"/>
      <c r="I155" s="7">
        <v>7913</v>
      </c>
      <c r="J155" s="7">
        <v>6612</v>
      </c>
      <c r="K155" s="7">
        <v>14463</v>
      </c>
      <c r="L155" s="7">
        <v>20677</v>
      </c>
      <c r="M155" s="7">
        <v>23035</v>
      </c>
      <c r="N155" s="2">
        <v>30717</v>
      </c>
      <c r="O155" s="7"/>
    </row>
    <row r="156" spans="2:15" s="475" customFormat="1" x14ac:dyDescent="0.3">
      <c r="B156" s="9" t="s">
        <v>369</v>
      </c>
      <c r="C156" s="59" t="s">
        <v>239</v>
      </c>
      <c r="H156" s="7">
        <v>12099</v>
      </c>
      <c r="I156" s="7">
        <v>33061</v>
      </c>
      <c r="J156" s="7">
        <v>41824</v>
      </c>
      <c r="K156" s="7">
        <v>45363</v>
      </c>
      <c r="L156" s="7">
        <v>50255</v>
      </c>
      <c r="M156" s="7">
        <v>53623</v>
      </c>
      <c r="N156" s="2">
        <v>59792</v>
      </c>
      <c r="O156" s="7"/>
    </row>
    <row r="157" spans="2:15" s="475" customFormat="1" x14ac:dyDescent="0.3">
      <c r="B157" s="44" t="s">
        <v>369</v>
      </c>
      <c r="C157" s="45" t="s">
        <v>240</v>
      </c>
      <c r="H157" s="7">
        <v>278718</v>
      </c>
      <c r="I157" s="7">
        <v>133532</v>
      </c>
      <c r="J157" s="7">
        <v>1508972</v>
      </c>
      <c r="K157" s="7">
        <v>1709096</v>
      </c>
      <c r="L157" s="7">
        <v>2008841</v>
      </c>
      <c r="M157" s="7">
        <v>2182460</v>
      </c>
      <c r="N157" s="2">
        <v>2353931</v>
      </c>
      <c r="O157" s="7"/>
    </row>
    <row r="158" spans="2:15" s="475" customFormat="1" x14ac:dyDescent="0.3">
      <c r="B158" s="9" t="s">
        <v>369</v>
      </c>
      <c r="C158" s="59" t="s">
        <v>241</v>
      </c>
      <c r="H158" s="7"/>
      <c r="I158" s="7">
        <v>5361</v>
      </c>
      <c r="J158" s="7">
        <v>12868</v>
      </c>
      <c r="K158" s="7">
        <v>12338</v>
      </c>
      <c r="L158" s="7">
        <v>14476</v>
      </c>
      <c r="M158" s="7">
        <v>17514</v>
      </c>
      <c r="N158" s="2">
        <v>19624</v>
      </c>
      <c r="O158" s="7"/>
    </row>
    <row r="159" spans="2:15" s="475" customFormat="1" x14ac:dyDescent="0.3">
      <c r="B159" s="44" t="s">
        <v>369</v>
      </c>
      <c r="C159" s="45" t="s">
        <v>183</v>
      </c>
      <c r="H159" s="7">
        <v>30226</v>
      </c>
      <c r="I159" s="7">
        <v>172137</v>
      </c>
      <c r="J159" s="7">
        <v>177457</v>
      </c>
      <c r="K159" s="7">
        <v>183433</v>
      </c>
      <c r="L159" s="7">
        <v>215476</v>
      </c>
      <c r="M159" s="7">
        <v>240911</v>
      </c>
      <c r="N159" s="2">
        <v>240416</v>
      </c>
      <c r="O159" s="7"/>
    </row>
    <row r="160" spans="2:15" s="475" customFormat="1" x14ac:dyDescent="0.3">
      <c r="B160" s="9" t="s">
        <v>369</v>
      </c>
      <c r="C160" s="59" t="s">
        <v>184</v>
      </c>
      <c r="H160" s="7">
        <v>28152</v>
      </c>
      <c r="I160" s="7">
        <v>62103</v>
      </c>
      <c r="J160" s="7">
        <v>86057</v>
      </c>
      <c r="K160" s="7">
        <v>96395</v>
      </c>
      <c r="L160" s="7">
        <v>113289</v>
      </c>
      <c r="M160" s="7">
        <v>115557</v>
      </c>
      <c r="N160" s="2">
        <v>123532</v>
      </c>
      <c r="O160" s="7"/>
    </row>
    <row r="161" spans="2:18" s="475" customFormat="1" x14ac:dyDescent="0.3">
      <c r="B161" s="44" t="s">
        <v>369</v>
      </c>
      <c r="C161" s="45" t="s">
        <v>185</v>
      </c>
      <c r="H161" s="7"/>
      <c r="I161" s="7"/>
      <c r="J161" s="7">
        <v>1134</v>
      </c>
      <c r="K161" s="7">
        <v>727</v>
      </c>
      <c r="L161" s="7">
        <v>1003</v>
      </c>
      <c r="M161" s="7">
        <v>1066</v>
      </c>
      <c r="N161" s="2">
        <v>447</v>
      </c>
      <c r="O161" s="7"/>
    </row>
    <row r="162" spans="2:18" s="475" customFormat="1" x14ac:dyDescent="0.3">
      <c r="B162" s="9" t="s">
        <v>369</v>
      </c>
      <c r="C162" s="59" t="s">
        <v>242</v>
      </c>
      <c r="H162" s="7">
        <v>31225</v>
      </c>
      <c r="I162" s="7">
        <v>54336</v>
      </c>
      <c r="J162" s="7">
        <v>78340</v>
      </c>
      <c r="K162" s="7">
        <v>93338</v>
      </c>
      <c r="L162" s="7">
        <v>122815</v>
      </c>
      <c r="M162" s="7">
        <v>127916</v>
      </c>
      <c r="N162" s="2">
        <v>146936</v>
      </c>
      <c r="O162" s="7"/>
    </row>
    <row r="163" spans="2:18" s="475" customFormat="1" x14ac:dyDescent="0.3">
      <c r="B163" s="44" t="s">
        <v>369</v>
      </c>
      <c r="C163" s="45" t="s">
        <v>187</v>
      </c>
      <c r="H163" s="7">
        <v>1857</v>
      </c>
      <c r="I163" s="7">
        <v>23262</v>
      </c>
      <c r="J163" s="7">
        <v>30199</v>
      </c>
      <c r="K163" s="7">
        <v>37206</v>
      </c>
      <c r="L163" s="7">
        <v>41233</v>
      </c>
      <c r="M163" s="7">
        <v>44413</v>
      </c>
      <c r="N163" s="2">
        <v>40786</v>
      </c>
      <c r="O163" s="7"/>
    </row>
    <row r="164" spans="2:18" s="475" customFormat="1" x14ac:dyDescent="0.3">
      <c r="B164" s="9" t="s">
        <v>369</v>
      </c>
      <c r="C164" s="59" t="s">
        <v>188</v>
      </c>
      <c r="H164" s="7">
        <v>4168</v>
      </c>
      <c r="I164" s="7">
        <v>8639</v>
      </c>
      <c r="J164" s="7">
        <v>9757</v>
      </c>
      <c r="K164" s="7">
        <v>13001</v>
      </c>
      <c r="L164" s="7">
        <v>16465</v>
      </c>
      <c r="M164" s="7">
        <v>16075</v>
      </c>
      <c r="N164" s="2">
        <v>18297</v>
      </c>
      <c r="O164" s="7"/>
    </row>
    <row r="165" spans="2:18" s="475" customFormat="1" x14ac:dyDescent="0.3">
      <c r="B165" s="44" t="s">
        <v>369</v>
      </c>
      <c r="C165" s="45" t="s">
        <v>243</v>
      </c>
      <c r="H165" s="7"/>
      <c r="I165" s="7">
        <v>5709</v>
      </c>
      <c r="J165" s="7">
        <v>7743</v>
      </c>
      <c r="K165" s="7">
        <v>12182</v>
      </c>
      <c r="L165" s="7">
        <v>13399</v>
      </c>
      <c r="M165" s="7">
        <v>15512</v>
      </c>
      <c r="N165" s="2">
        <v>14682</v>
      </c>
      <c r="O165" s="7"/>
    </row>
    <row r="166" spans="2:18" s="475" customFormat="1" x14ac:dyDescent="0.3">
      <c r="B166" s="9" t="s">
        <v>369</v>
      </c>
      <c r="C166" s="59" t="s">
        <v>244</v>
      </c>
      <c r="H166" s="7">
        <v>2768</v>
      </c>
      <c r="I166" s="7">
        <v>20895</v>
      </c>
      <c r="J166" s="7">
        <v>33273</v>
      </c>
      <c r="K166" s="7">
        <v>45290</v>
      </c>
      <c r="L166" s="7">
        <v>49488</v>
      </c>
      <c r="M166" s="7">
        <v>51157</v>
      </c>
      <c r="N166" s="2">
        <v>55232</v>
      </c>
      <c r="O166" s="7"/>
    </row>
    <row r="167" spans="2:18" s="475" customFormat="1" x14ac:dyDescent="0.3">
      <c r="B167" s="44" t="s">
        <v>369</v>
      </c>
      <c r="C167" s="45" t="s">
        <v>346</v>
      </c>
      <c r="H167" s="7">
        <v>3065</v>
      </c>
      <c r="I167" s="7">
        <v>48543</v>
      </c>
      <c r="J167" s="7">
        <v>15850</v>
      </c>
      <c r="K167" s="7">
        <v>19120</v>
      </c>
      <c r="L167" s="7">
        <v>22623</v>
      </c>
      <c r="M167" s="7">
        <v>20703</v>
      </c>
      <c r="N167" s="2">
        <v>23752</v>
      </c>
      <c r="O167" s="7"/>
    </row>
    <row r="168" spans="2:18" s="475" customFormat="1" x14ac:dyDescent="0.3">
      <c r="B168" s="9" t="s">
        <v>369</v>
      </c>
      <c r="C168" s="27" t="s">
        <v>191</v>
      </c>
      <c r="H168" s="7">
        <v>4551</v>
      </c>
      <c r="I168" s="7">
        <v>19212</v>
      </c>
      <c r="J168" s="7">
        <v>25199</v>
      </c>
      <c r="K168" s="7">
        <v>27986</v>
      </c>
      <c r="L168" s="7">
        <v>35725</v>
      </c>
      <c r="M168" s="7">
        <v>37787</v>
      </c>
      <c r="N168" s="2">
        <v>29544</v>
      </c>
      <c r="O168" s="7"/>
    </row>
    <row r="169" spans="2:18" s="475" customFormat="1" x14ac:dyDescent="0.3">
      <c r="B169" s="44" t="s">
        <v>369</v>
      </c>
      <c r="C169" s="45" t="s">
        <v>245</v>
      </c>
      <c r="H169" s="7">
        <v>17137</v>
      </c>
      <c r="I169" s="7">
        <v>70823</v>
      </c>
      <c r="J169" s="7">
        <v>88800</v>
      </c>
      <c r="K169" s="7">
        <v>89242</v>
      </c>
      <c r="L169" s="7">
        <v>108279</v>
      </c>
      <c r="M169" s="7">
        <v>122365</v>
      </c>
      <c r="N169" s="2">
        <v>130528</v>
      </c>
      <c r="O169" s="7"/>
    </row>
    <row r="170" spans="2:18" s="475" customFormat="1" x14ac:dyDescent="0.3">
      <c r="B170" s="6"/>
      <c r="C170" s="182" t="s">
        <v>497</v>
      </c>
      <c r="D170" s="157"/>
      <c r="E170" s="157"/>
      <c r="F170" s="157"/>
      <c r="G170" s="157"/>
      <c r="H170" s="158">
        <f>SUM(H142:H169)</f>
        <v>598892</v>
      </c>
      <c r="I170" s="158">
        <f t="shared" ref="I170:N170" si="3">SUM(I142:I169)</f>
        <v>1428366</v>
      </c>
      <c r="J170" s="158">
        <f t="shared" si="3"/>
        <v>3204127</v>
      </c>
      <c r="K170" s="158">
        <f t="shared" si="3"/>
        <v>3672265</v>
      </c>
      <c r="L170" s="158">
        <f t="shared" si="3"/>
        <v>4225191</v>
      </c>
      <c r="M170" s="158">
        <f t="shared" si="3"/>
        <v>4544858</v>
      </c>
      <c r="N170" s="158">
        <f t="shared" si="3"/>
        <v>4913442</v>
      </c>
      <c r="O170" s="7"/>
    </row>
    <row r="171" spans="2:18" s="475" customFormat="1" x14ac:dyDescent="0.3">
      <c r="B171" s="6" t="s">
        <v>202</v>
      </c>
      <c r="C171" s="6"/>
      <c r="D171" s="157"/>
      <c r="E171" s="157"/>
      <c r="F171" s="157"/>
      <c r="G171" s="157"/>
      <c r="H171" s="7"/>
      <c r="I171" s="7"/>
      <c r="J171" s="7"/>
      <c r="K171" s="7"/>
      <c r="L171" s="7"/>
      <c r="M171" s="7"/>
      <c r="N171" s="7"/>
      <c r="O171" s="7"/>
    </row>
    <row r="172" spans="2:18" s="475" customFormat="1" x14ac:dyDescent="0.3">
      <c r="B172" s="6" t="s">
        <v>782</v>
      </c>
      <c r="C172" s="6"/>
      <c r="D172" s="157"/>
      <c r="E172" s="157"/>
      <c r="F172" s="157"/>
      <c r="G172" s="157"/>
      <c r="H172" s="7"/>
      <c r="I172" s="7"/>
      <c r="J172" s="7"/>
      <c r="K172" s="7"/>
      <c r="L172" s="7"/>
      <c r="M172" s="7"/>
      <c r="N172" s="7"/>
      <c r="O172" s="7"/>
    </row>
    <row r="173" spans="2:18" s="6" customFormat="1" ht="24" thickBot="1" x14ac:dyDescent="0.5">
      <c r="B173" s="30" t="s">
        <v>371</v>
      </c>
      <c r="C173" s="30"/>
      <c r="D173" s="5"/>
      <c r="E173" s="5"/>
      <c r="F173" s="5"/>
      <c r="G173" s="5"/>
      <c r="H173" s="5"/>
      <c r="I173" s="5"/>
      <c r="J173" s="5"/>
      <c r="K173" s="5"/>
      <c r="L173" s="5"/>
      <c r="M173" s="5"/>
      <c r="N173" s="5"/>
      <c r="O173" s="5"/>
    </row>
    <row r="174" spans="2:18" s="475" customFormat="1" ht="29.4" thickBot="1" x14ac:dyDescent="0.35">
      <c r="B174" s="32"/>
      <c r="C174" s="32"/>
      <c r="D174" s="39">
        <v>2007</v>
      </c>
      <c r="E174" s="39">
        <v>2008</v>
      </c>
      <c r="F174" s="39">
        <v>2009</v>
      </c>
      <c r="G174" s="39">
        <v>2010</v>
      </c>
      <c r="H174" s="39">
        <v>2011</v>
      </c>
      <c r="I174" s="39">
        <v>2012</v>
      </c>
      <c r="J174" s="39">
        <v>2013</v>
      </c>
      <c r="K174" s="39">
        <v>2014</v>
      </c>
      <c r="L174" s="39">
        <v>2015</v>
      </c>
      <c r="M174" s="39">
        <v>2016</v>
      </c>
      <c r="N174" s="39">
        <v>2017</v>
      </c>
      <c r="O174" s="191" t="s">
        <v>784</v>
      </c>
      <c r="P174" s="591" t="s">
        <v>510</v>
      </c>
      <c r="Q174" s="591" t="s">
        <v>510</v>
      </c>
      <c r="R174" s="591" t="s">
        <v>510</v>
      </c>
    </row>
    <row r="175" spans="2:18" s="475" customFormat="1" ht="29.4" thickBot="1" x14ac:dyDescent="0.35">
      <c r="B175" s="11" t="s">
        <v>10</v>
      </c>
      <c r="C175" s="11"/>
      <c r="D175" s="21"/>
      <c r="E175" s="21"/>
      <c r="F175" s="21"/>
      <c r="G175" s="21"/>
      <c r="H175" s="21"/>
      <c r="I175" s="21"/>
      <c r="J175" s="21"/>
      <c r="K175" s="21"/>
      <c r="L175" s="21"/>
      <c r="M175" s="21"/>
      <c r="N175" s="21"/>
      <c r="O175" s="191"/>
      <c r="P175" s="592" t="s">
        <v>595</v>
      </c>
      <c r="Q175" s="592" t="s">
        <v>663</v>
      </c>
      <c r="R175" s="592" t="s">
        <v>725</v>
      </c>
    </row>
    <row r="176" spans="2:18" s="475" customFormat="1" ht="15" thickBot="1" x14ac:dyDescent="0.35">
      <c r="B176" s="9" t="s">
        <v>380</v>
      </c>
      <c r="C176" s="59" t="s">
        <v>233</v>
      </c>
      <c r="D176" s="10"/>
      <c r="E176" s="40"/>
      <c r="F176" s="40"/>
      <c r="G176" s="40"/>
      <c r="H176" s="149">
        <f>H223/'[1]Bevs(2000-2015)'!O212</f>
        <v>0</v>
      </c>
      <c r="I176" s="149">
        <f>I223/'[1]Bevs(2000-2015)'!P212</f>
        <v>0</v>
      </c>
      <c r="J176" s="149">
        <f>J223/'[1]Bevs(2000-2015)'!Q212</f>
        <v>0</v>
      </c>
      <c r="K176" s="149">
        <f>K223/'[1]Bevs(2000-2015)'!R212</f>
        <v>0</v>
      </c>
      <c r="L176" s="149">
        <f>L223/P176</f>
        <v>0</v>
      </c>
      <c r="M176" s="149">
        <f>M223/Q176</f>
        <v>7.6494905764786306E-3</v>
      </c>
      <c r="N176" s="149">
        <f>N223/R176</f>
        <v>9.2147558548905557E-3</v>
      </c>
      <c r="O176" s="191" t="s">
        <v>233</v>
      </c>
      <c r="P176" s="191">
        <v>30106</v>
      </c>
      <c r="Q176" s="191">
        <v>30721</v>
      </c>
      <c r="R176" s="191">
        <v>32665</v>
      </c>
    </row>
    <row r="177" spans="2:18" s="475" customFormat="1" ht="15" thickBot="1" x14ac:dyDescent="0.35">
      <c r="B177" s="44" t="s">
        <v>380</v>
      </c>
      <c r="C177" s="45" t="s">
        <v>234</v>
      </c>
      <c r="D177" s="19"/>
      <c r="E177" s="47"/>
      <c r="F177" s="47"/>
      <c r="G177" s="47"/>
      <c r="H177" s="150">
        <f>H224/'[1]Bevs(2000-2015)'!O215</f>
        <v>0</v>
      </c>
      <c r="I177" s="150">
        <f>I224/'[1]Bevs(2000-2015)'!P215</f>
        <v>0</v>
      </c>
      <c r="J177" s="150">
        <f>J224/'[1]Bevs(2000-2015)'!Q215</f>
        <v>0</v>
      </c>
      <c r="K177" s="150">
        <f>K224/'[1]Bevs(2000-2015)'!R215</f>
        <v>0</v>
      </c>
      <c r="L177" s="149">
        <f t="shared" ref="L177:L203" si="4">L224/P177</f>
        <v>0</v>
      </c>
      <c r="M177" s="149">
        <f t="shared" ref="M177:M204" si="5">M224/Q177</f>
        <v>2.3277121561052919E-3</v>
      </c>
      <c r="N177" s="149">
        <f t="shared" ref="N177:N204" si="6">N224/R177</f>
        <v>1.0803205788508404E-3</v>
      </c>
      <c r="O177" s="191" t="s">
        <v>234</v>
      </c>
      <c r="P177" s="191">
        <v>39997</v>
      </c>
      <c r="Q177" s="191">
        <v>40383</v>
      </c>
      <c r="R177" s="191">
        <v>39803</v>
      </c>
    </row>
    <row r="178" spans="2:18" s="475" customFormat="1" ht="15" thickBot="1" x14ac:dyDescent="0.35">
      <c r="B178" s="9" t="s">
        <v>380</v>
      </c>
      <c r="C178" s="59" t="s">
        <v>168</v>
      </c>
      <c r="D178" s="10"/>
      <c r="E178" s="40"/>
      <c r="F178" s="40"/>
      <c r="G178" s="40"/>
      <c r="H178" s="149">
        <f>H225/'[1]Bevs(2000-2015)'!O218</f>
        <v>1.0472428950689819E-3</v>
      </c>
      <c r="I178" s="149">
        <f>I225/'[1]Bevs(2000-2015)'!P218</f>
        <v>0</v>
      </c>
      <c r="J178" s="149">
        <f>J225/'[1]Bevs(2000-2015)'!Q218</f>
        <v>9.3706651583101014E-3</v>
      </c>
      <c r="K178" s="149">
        <f>K225/'[1]Bevs(2000-2015)'!R218</f>
        <v>1.2371698665370788E-2</v>
      </c>
      <c r="L178" s="149">
        <f t="shared" si="4"/>
        <v>1.4697902908612552E-2</v>
      </c>
      <c r="M178" s="149">
        <f t="shared" si="5"/>
        <v>1.4371022749545924E-2</v>
      </c>
      <c r="N178" s="149">
        <f t="shared" si="6"/>
        <v>1.9170424732934378E-2</v>
      </c>
      <c r="O178" s="191" t="s">
        <v>168</v>
      </c>
      <c r="P178" s="191">
        <v>377809</v>
      </c>
      <c r="Q178" s="191">
        <v>382645</v>
      </c>
      <c r="R178" s="191">
        <v>408233</v>
      </c>
    </row>
    <row r="179" spans="2:18" s="475" customFormat="1" ht="15" thickBot="1" x14ac:dyDescent="0.35">
      <c r="B179" s="44" t="s">
        <v>380</v>
      </c>
      <c r="C179" s="45" t="s">
        <v>169</v>
      </c>
      <c r="D179" s="19"/>
      <c r="E179" s="47"/>
      <c r="F179" s="47"/>
      <c r="G179" s="47"/>
      <c r="H179" s="150">
        <f>H226/'[1]Bevs(2000-2015)'!O221</f>
        <v>0</v>
      </c>
      <c r="I179" s="150">
        <f>I226/'[1]Bevs(2000-2015)'!P221</f>
        <v>0</v>
      </c>
      <c r="J179" s="150">
        <f>J226/'[1]Bevs(2000-2015)'!Q221</f>
        <v>1.5584002544326947E-3</v>
      </c>
      <c r="K179" s="150">
        <f>K226/'[1]Bevs(2000-2015)'!R221</f>
        <v>2.28169415791225E-3</v>
      </c>
      <c r="L179" s="149">
        <f t="shared" si="4"/>
        <v>4.1437129595425851E-3</v>
      </c>
      <c r="M179" s="149">
        <f t="shared" si="5"/>
        <v>2.9788784839409927E-3</v>
      </c>
      <c r="N179" s="149">
        <f t="shared" si="6"/>
        <v>4.6354046354046352E-3</v>
      </c>
      <c r="O179" s="191" t="s">
        <v>169</v>
      </c>
      <c r="P179" s="191">
        <v>62263</v>
      </c>
      <c r="Q179" s="191">
        <v>63111</v>
      </c>
      <c r="R179" s="191">
        <v>64935</v>
      </c>
    </row>
    <row r="180" spans="2:18" s="475" customFormat="1" ht="15" thickBot="1" x14ac:dyDescent="0.35">
      <c r="B180" s="9" t="s">
        <v>380</v>
      </c>
      <c r="C180" s="59" t="s">
        <v>170</v>
      </c>
      <c r="D180" s="10"/>
      <c r="E180" s="40"/>
      <c r="F180" s="40"/>
      <c r="G180" s="40"/>
      <c r="H180" s="149">
        <f>H227/'[1]Bevs(2000-2015)'!O224</f>
        <v>0</v>
      </c>
      <c r="I180" s="149">
        <f>I227/'[1]Bevs(2000-2015)'!P224</f>
        <v>0</v>
      </c>
      <c r="J180" s="149">
        <f>J227/'[1]Bevs(2000-2015)'!Q224</f>
        <v>0</v>
      </c>
      <c r="K180" s="149">
        <f>K227/'[1]Bevs(2000-2015)'!R224</f>
        <v>0</v>
      </c>
      <c r="L180" s="149">
        <f t="shared" si="4"/>
        <v>1.3450109477635284E-2</v>
      </c>
      <c r="M180" s="149">
        <f t="shared" si="5"/>
        <v>0</v>
      </c>
      <c r="N180" s="149">
        <f t="shared" si="6"/>
        <v>0</v>
      </c>
      <c r="O180" s="191" t="s">
        <v>170</v>
      </c>
      <c r="P180" s="191">
        <v>3197</v>
      </c>
      <c r="Q180" s="191">
        <v>3248</v>
      </c>
      <c r="R180" s="191">
        <v>3496</v>
      </c>
    </row>
    <row r="181" spans="2:18" s="475" customFormat="1" ht="15" thickBot="1" x14ac:dyDescent="0.35">
      <c r="B181" s="44" t="s">
        <v>380</v>
      </c>
      <c r="C181" s="45" t="s">
        <v>171</v>
      </c>
      <c r="D181" s="19"/>
      <c r="E181" s="47"/>
      <c r="F181" s="47"/>
      <c r="G181" s="47"/>
      <c r="H181" s="150">
        <f>H228/'[1]Bevs(2000-2015)'!O227</f>
        <v>0</v>
      </c>
      <c r="I181" s="150">
        <f>I228/'[1]Bevs(2000-2015)'!P227</f>
        <v>0</v>
      </c>
      <c r="J181" s="150">
        <f>J228/'[1]Bevs(2000-2015)'!Q227</f>
        <v>3.3004967584406835E-3</v>
      </c>
      <c r="K181" s="150">
        <f>K228/'[1]Bevs(2000-2015)'!R227</f>
        <v>3.1993068168563476E-3</v>
      </c>
      <c r="L181" s="149">
        <f t="shared" si="4"/>
        <v>3.5773710482529118E-3</v>
      </c>
      <c r="M181" s="149">
        <f t="shared" si="5"/>
        <v>4.640065816536405E-3</v>
      </c>
      <c r="N181" s="149">
        <f t="shared" si="6"/>
        <v>6.9234237135312685E-3</v>
      </c>
      <c r="O181" s="191" t="s">
        <v>171</v>
      </c>
      <c r="P181" s="191">
        <v>60100</v>
      </c>
      <c r="Q181" s="191">
        <v>60775</v>
      </c>
      <c r="R181" s="191">
        <v>62108</v>
      </c>
    </row>
    <row r="182" spans="2:18" s="475" customFormat="1" ht="15" thickBot="1" x14ac:dyDescent="0.35">
      <c r="B182" s="9" t="s">
        <v>380</v>
      </c>
      <c r="C182" s="59" t="s">
        <v>172</v>
      </c>
      <c r="D182" s="10"/>
      <c r="E182" s="40"/>
      <c r="F182" s="40"/>
      <c r="G182" s="40"/>
      <c r="H182" s="149">
        <f>H229/'[1]Bevs(2000-2015)'!O230</f>
        <v>5.9938644623776021E-4</v>
      </c>
      <c r="I182" s="149">
        <f>I229/'[1]Bevs(2000-2015)'!P230</f>
        <v>0</v>
      </c>
      <c r="J182" s="149">
        <f>J229/'[1]Bevs(2000-2015)'!Q230</f>
        <v>1.7919373574839737E-2</v>
      </c>
      <c r="K182" s="149">
        <f>K229/'[1]Bevs(2000-2015)'!R230</f>
        <v>2.1554342830275398E-2</v>
      </c>
      <c r="L182" s="149">
        <f t="shared" si="4"/>
        <v>2.2871989484613064E-2</v>
      </c>
      <c r="M182" s="149">
        <f t="shared" si="5"/>
        <v>2.4325764302930358E-2</v>
      </c>
      <c r="N182" s="149">
        <f t="shared" si="6"/>
        <v>3.1275780430060289E-2</v>
      </c>
      <c r="O182" s="191" t="s">
        <v>172</v>
      </c>
      <c r="P182" s="191">
        <v>195523</v>
      </c>
      <c r="Q182" s="191">
        <v>197075</v>
      </c>
      <c r="R182" s="191">
        <v>204855</v>
      </c>
    </row>
    <row r="183" spans="2:18" s="475" customFormat="1" ht="29.4" thickBot="1" x14ac:dyDescent="0.35">
      <c r="B183" s="44" t="s">
        <v>380</v>
      </c>
      <c r="C183" s="45" t="s">
        <v>235</v>
      </c>
      <c r="D183" s="19"/>
      <c r="E183" s="47"/>
      <c r="F183" s="47"/>
      <c r="G183" s="47"/>
      <c r="H183" s="150">
        <f>H230/'[1]Bevs(2000-2015)'!O233</f>
        <v>0</v>
      </c>
      <c r="I183" s="150">
        <f>I230/'[1]Bevs(2000-2015)'!P233</f>
        <v>0</v>
      </c>
      <c r="J183" s="150">
        <f>J230/'[1]Bevs(2000-2015)'!Q233</f>
        <v>0</v>
      </c>
      <c r="K183" s="150">
        <f>K230/'[1]Bevs(2000-2015)'!R233</f>
        <v>1.8536754909343684E-3</v>
      </c>
      <c r="L183" s="149">
        <f t="shared" si="4"/>
        <v>4.1787331635925445E-3</v>
      </c>
      <c r="M183" s="149">
        <f t="shared" si="5"/>
        <v>1.8069625728071356E-3</v>
      </c>
      <c r="N183" s="149">
        <f t="shared" si="6"/>
        <v>7.1151477266459522E-3</v>
      </c>
      <c r="O183" s="191" t="s">
        <v>235</v>
      </c>
      <c r="P183" s="191">
        <v>51451</v>
      </c>
      <c r="Q183" s="191">
        <v>52021</v>
      </c>
      <c r="R183" s="191">
        <v>54391</v>
      </c>
    </row>
    <row r="184" spans="2:18" s="475" customFormat="1" ht="15" thickBot="1" x14ac:dyDescent="0.35">
      <c r="B184" s="9" t="s">
        <v>380</v>
      </c>
      <c r="C184" s="27" t="s">
        <v>345</v>
      </c>
      <c r="D184" s="10"/>
      <c r="E184" s="40"/>
      <c r="F184" s="40"/>
      <c r="G184" s="40"/>
      <c r="H184" s="149">
        <f>H231/'[1]Bevs(2000-2015)'!O239</f>
        <v>0</v>
      </c>
      <c r="I184" s="149">
        <f>I231/'[1]Bevs(2000-2015)'!P239</f>
        <v>0</v>
      </c>
      <c r="J184" s="149">
        <f>J231/'[1]Bevs(2000-2015)'!Q239</f>
        <v>0</v>
      </c>
      <c r="K184" s="149">
        <f>K231/'[1]Bevs(2000-2015)'!R239</f>
        <v>3.7129287272389734E-3</v>
      </c>
      <c r="L184" s="149">
        <f t="shared" si="4"/>
        <v>8.6486988272426284E-3</v>
      </c>
      <c r="M184" s="149">
        <f t="shared" si="5"/>
        <v>1.0146961308927166E-2</v>
      </c>
      <c r="N184" s="149">
        <f t="shared" si="6"/>
        <v>1.5253852484604251E-2</v>
      </c>
      <c r="O184" s="191" t="s">
        <v>345</v>
      </c>
      <c r="P184" s="191">
        <v>64634</v>
      </c>
      <c r="Q184" s="191">
        <v>64847</v>
      </c>
      <c r="R184" s="191">
        <v>70474</v>
      </c>
    </row>
    <row r="185" spans="2:18" s="475" customFormat="1" ht="15" thickBot="1" x14ac:dyDescent="0.35">
      <c r="B185" s="44" t="s">
        <v>380</v>
      </c>
      <c r="C185" s="45" t="s">
        <v>175</v>
      </c>
      <c r="D185" s="19"/>
      <c r="E185" s="47"/>
      <c r="F185" s="47"/>
      <c r="G185" s="47"/>
      <c r="H185" s="150">
        <f>H232/'[1]Bevs(2000-2015)'!O242</f>
        <v>1.3499417070626497E-3</v>
      </c>
      <c r="I185" s="150">
        <f>I232/'[1]Bevs(2000-2015)'!P242</f>
        <v>0</v>
      </c>
      <c r="J185" s="150">
        <f>J232/'[1]Bevs(2000-2015)'!Q242</f>
        <v>5.400506986370149E-3</v>
      </c>
      <c r="K185" s="150">
        <f>K232/'[1]Bevs(2000-2015)'!R242</f>
        <v>3.4948487385780334E-3</v>
      </c>
      <c r="L185" s="149">
        <f t="shared" si="4"/>
        <v>6.232862647517122E-3</v>
      </c>
      <c r="M185" s="149">
        <f t="shared" si="5"/>
        <v>1.1748041993001166E-2</v>
      </c>
      <c r="N185" s="149">
        <f t="shared" si="6"/>
        <v>8.7097427587603804E-3</v>
      </c>
      <c r="O185" s="191" t="s">
        <v>175</v>
      </c>
      <c r="P185" s="191">
        <v>82787</v>
      </c>
      <c r="Q185" s="191">
        <v>84014</v>
      </c>
      <c r="R185" s="191">
        <v>88866</v>
      </c>
    </row>
    <row r="186" spans="2:18" s="475" customFormat="1" ht="15" thickBot="1" x14ac:dyDescent="0.35">
      <c r="B186" s="9" t="s">
        <v>380</v>
      </c>
      <c r="C186" s="59" t="s">
        <v>176</v>
      </c>
      <c r="D186" s="10"/>
      <c r="E186" s="40"/>
      <c r="F186" s="40"/>
      <c r="G186" s="40"/>
      <c r="H186" s="149">
        <f>H233/'[1]Bevs(2000-2015)'!O245</f>
        <v>0</v>
      </c>
      <c r="I186" s="149">
        <f>I233/'[1]Bevs(2000-2015)'!P245</f>
        <v>0</v>
      </c>
      <c r="J186" s="149">
        <f>J233/'[1]Bevs(2000-2015)'!Q245</f>
        <v>5.1004475902987406E-3</v>
      </c>
      <c r="K186" s="149">
        <f>K233/'[1]Bevs(2000-2015)'!R245</f>
        <v>3.3069808298455019E-3</v>
      </c>
      <c r="L186" s="149">
        <f t="shared" si="4"/>
        <v>3.7299191561708475E-3</v>
      </c>
      <c r="M186" s="149">
        <f t="shared" si="5"/>
        <v>7.9715061058344642E-3</v>
      </c>
      <c r="N186" s="149">
        <f t="shared" si="6"/>
        <v>1.2252069713326897E-2</v>
      </c>
      <c r="O186" s="191" t="s">
        <v>176</v>
      </c>
      <c r="P186" s="191">
        <v>57642</v>
      </c>
      <c r="Q186" s="191">
        <v>58960</v>
      </c>
      <c r="R186" s="191">
        <v>63173</v>
      </c>
    </row>
    <row r="187" spans="2:18" s="475" customFormat="1" ht="15" thickBot="1" x14ac:dyDescent="0.35">
      <c r="B187" s="44" t="s">
        <v>380</v>
      </c>
      <c r="C187" s="45" t="s">
        <v>237</v>
      </c>
      <c r="D187" s="19"/>
      <c r="E187" s="47"/>
      <c r="F187" s="47"/>
      <c r="G187" s="47"/>
      <c r="H187" s="150">
        <f>H234/'[1]Bevs(2000-2015)'!O24</f>
        <v>0</v>
      </c>
      <c r="I187" s="150">
        <f>I234/'[1]Bevs(2000-2015)'!P24</f>
        <v>0</v>
      </c>
      <c r="J187" s="150">
        <f>J234/'[1]Bevs(2000-2015)'!Q251</f>
        <v>2.0808340322529275E-3</v>
      </c>
      <c r="K187" s="150">
        <f>K234/'[1]Bevs(2000-2015)'!R251</f>
        <v>5.1257408297292967E-3</v>
      </c>
      <c r="L187" s="149">
        <f t="shared" si="4"/>
        <v>1.3056063478783053E-3</v>
      </c>
      <c r="M187" s="149">
        <f t="shared" si="5"/>
        <v>1.7162509377966924E-3</v>
      </c>
      <c r="N187" s="149">
        <f t="shared" si="6"/>
        <v>3.6914096033880844E-3</v>
      </c>
      <c r="O187" s="191" t="s">
        <v>237</v>
      </c>
      <c r="P187" s="191">
        <v>296414</v>
      </c>
      <c r="Q187" s="191">
        <v>301238</v>
      </c>
      <c r="R187" s="191">
        <v>314514</v>
      </c>
    </row>
    <row r="188" spans="2:18" s="475" customFormat="1" ht="15" thickBot="1" x14ac:dyDescent="0.35">
      <c r="B188" s="9" t="s">
        <v>380</v>
      </c>
      <c r="C188" s="59" t="s">
        <v>178</v>
      </c>
      <c r="D188" s="10"/>
      <c r="E188" s="40"/>
      <c r="F188" s="40"/>
      <c r="G188" s="40"/>
      <c r="H188" s="149">
        <f>H235/'[1]Bevs(2000-2015)'!O248</f>
        <v>2.1309945228157306E-3</v>
      </c>
      <c r="I188" s="149">
        <f>I235/'[1]Bevs(2000-2015)'!P248</f>
        <v>0</v>
      </c>
      <c r="J188" s="149">
        <f>J235/'[1]Bevs(2000-2015)'!Q248</f>
        <v>8.5371802913094992E-3</v>
      </c>
      <c r="K188" s="149">
        <f>K235/'[1]Bevs(2000-2015)'!R248</f>
        <v>1.230419631289793E-2</v>
      </c>
      <c r="L188" s="149">
        <f t="shared" si="4"/>
        <v>0.16366664110345433</v>
      </c>
      <c r="M188" s="149">
        <f t="shared" si="5"/>
        <v>0.17670351427157235</v>
      </c>
      <c r="N188" s="149">
        <f t="shared" si="6"/>
        <v>0.13618954754269746</v>
      </c>
      <c r="O188" s="191" t="s">
        <v>178</v>
      </c>
      <c r="P188" s="191">
        <v>91277</v>
      </c>
      <c r="Q188" s="191">
        <v>90915</v>
      </c>
      <c r="R188" s="191">
        <v>99479</v>
      </c>
    </row>
    <row r="189" spans="2:18" s="475" customFormat="1" ht="15" thickBot="1" x14ac:dyDescent="0.35">
      <c r="B189" s="44" t="s">
        <v>380</v>
      </c>
      <c r="C189" s="45" t="s">
        <v>238</v>
      </c>
      <c r="D189" s="19"/>
      <c r="E189" s="47"/>
      <c r="F189" s="47"/>
      <c r="G189" s="47"/>
      <c r="H189" s="150">
        <f>H236/'[1]Bevs(2000-2015)'!O254</f>
        <v>0</v>
      </c>
      <c r="I189" s="150">
        <f>I236/'[1]Bevs(2000-2015)'!P254</f>
        <v>0</v>
      </c>
      <c r="J189" s="150">
        <f>J236/'[1]Bevs(2000-2015)'!Q254</f>
        <v>0</v>
      </c>
      <c r="K189" s="150">
        <f>K236/'[1]Bevs(2000-2015)'!R254</f>
        <v>0</v>
      </c>
      <c r="L189" s="149">
        <f t="shared" si="4"/>
        <v>0</v>
      </c>
      <c r="M189" s="149">
        <f t="shared" si="5"/>
        <v>0</v>
      </c>
      <c r="N189" s="149">
        <f t="shared" si="6"/>
        <v>0</v>
      </c>
      <c r="O189" s="191" t="s">
        <v>238</v>
      </c>
      <c r="P189" s="191">
        <v>38621</v>
      </c>
      <c r="Q189" s="191">
        <v>36270</v>
      </c>
      <c r="R189" s="191">
        <v>32990</v>
      </c>
    </row>
    <row r="190" spans="2:18" s="475" customFormat="1" ht="29.4" thickBot="1" x14ac:dyDescent="0.35">
      <c r="B190" s="9" t="s">
        <v>380</v>
      </c>
      <c r="C190" s="59" t="s">
        <v>239</v>
      </c>
      <c r="D190" s="10"/>
      <c r="E190" s="40"/>
      <c r="F190" s="40"/>
      <c r="G190" s="40"/>
      <c r="H190" s="149">
        <f>H237/'[1]Bevs(2000-2015)'!O257</f>
        <v>0</v>
      </c>
      <c r="I190" s="149">
        <f>I237/'[1]Bevs(2000-2015)'!P257</f>
        <v>0</v>
      </c>
      <c r="J190" s="149">
        <f>J237/'[1]Bevs(2000-2015)'!Q257</f>
        <v>6.4129830186827209E-3</v>
      </c>
      <c r="K190" s="149">
        <f>K237/'[1]Bevs(2000-2015)'!R257</f>
        <v>3.1675850463589268E-3</v>
      </c>
      <c r="L190" s="149">
        <f t="shared" si="4"/>
        <v>7.3256329006099012E-3</v>
      </c>
      <c r="M190" s="149">
        <f t="shared" si="5"/>
        <v>1.4134866002806924E-2</v>
      </c>
      <c r="N190" s="149">
        <f t="shared" si="6"/>
        <v>1.538500856142503E-2</v>
      </c>
      <c r="O190" s="191" t="s">
        <v>239</v>
      </c>
      <c r="P190" s="191">
        <v>29349</v>
      </c>
      <c r="Q190" s="191">
        <v>29926</v>
      </c>
      <c r="R190" s="191">
        <v>39129</v>
      </c>
    </row>
    <row r="191" spans="2:18" s="475" customFormat="1" ht="15" thickBot="1" x14ac:dyDescent="0.35">
      <c r="B191" s="44" t="s">
        <v>380</v>
      </c>
      <c r="C191" s="45" t="s">
        <v>240</v>
      </c>
      <c r="D191" s="19"/>
      <c r="E191" s="47"/>
      <c r="F191" s="47"/>
      <c r="G191" s="47"/>
      <c r="H191" s="150">
        <f>H238/'[1]Bevs(2000-2015)'!O260</f>
        <v>2.3177051179564413E-5</v>
      </c>
      <c r="I191" s="150">
        <f>I238/'[1]Bevs(2000-2015)'!P260</f>
        <v>0</v>
      </c>
      <c r="J191" s="150">
        <f>J238/'[1]Bevs(2000-2015)'!Q260</f>
        <v>7.8928062019058345E-3</v>
      </c>
      <c r="K191" s="150">
        <f>K238/'[1]Bevs(2000-2015)'!R260</f>
        <v>1.0746838374648311E-2</v>
      </c>
      <c r="L191" s="149">
        <f t="shared" si="4"/>
        <v>1.2153377920647416E-2</v>
      </c>
      <c r="M191" s="149">
        <f t="shared" si="5"/>
        <v>2.0549024268294067E-2</v>
      </c>
      <c r="N191" s="149">
        <f t="shared" si="6"/>
        <v>2.4115369494149375E-2</v>
      </c>
      <c r="O191" s="191" t="s">
        <v>240</v>
      </c>
      <c r="P191" s="191">
        <v>2513869</v>
      </c>
      <c r="Q191" s="191">
        <v>2558029</v>
      </c>
      <c r="R191" s="191">
        <v>2614764</v>
      </c>
    </row>
    <row r="192" spans="2:18" s="475" customFormat="1" ht="29.4" thickBot="1" x14ac:dyDescent="0.35">
      <c r="B192" s="9" t="s">
        <v>380</v>
      </c>
      <c r="C192" s="59" t="s">
        <v>241</v>
      </c>
      <c r="D192" s="10"/>
      <c r="E192" s="40"/>
      <c r="F192" s="40"/>
      <c r="G192" s="40"/>
      <c r="H192" s="149">
        <f>H239/'[1]Bevs(2000-2015)'!O263</f>
        <v>0</v>
      </c>
      <c r="I192" s="149">
        <f>I239/'[1]Bevs(2000-2015)'!P263</f>
        <v>0</v>
      </c>
      <c r="J192" s="149">
        <f>J239/'[1]Bevs(2000-2015)'!Q263</f>
        <v>0</v>
      </c>
      <c r="K192" s="149">
        <f>K239/'[1]Bevs(2000-2015)'!R263</f>
        <v>0</v>
      </c>
      <c r="L192" s="149">
        <f t="shared" si="4"/>
        <v>0</v>
      </c>
      <c r="M192" s="149">
        <f t="shared" si="5"/>
        <v>0</v>
      </c>
      <c r="N192" s="149">
        <f t="shared" si="6"/>
        <v>0</v>
      </c>
      <c r="O192" s="191" t="s">
        <v>241</v>
      </c>
      <c r="P192" s="191">
        <v>11387</v>
      </c>
      <c r="Q192" s="191">
        <v>11139</v>
      </c>
      <c r="R192" s="191">
        <v>11513</v>
      </c>
    </row>
    <row r="193" spans="2:18" s="475" customFormat="1" ht="15" thickBot="1" x14ac:dyDescent="0.35">
      <c r="B193" s="44" t="s">
        <v>380</v>
      </c>
      <c r="C193" s="45" t="s">
        <v>183</v>
      </c>
      <c r="D193" s="19"/>
      <c r="E193" s="47"/>
      <c r="F193" s="47"/>
      <c r="G193" s="47"/>
      <c r="H193" s="150">
        <f>H240/'[1]Bevs(2000-2015)'!O266</f>
        <v>7.3939638367950529E-4</v>
      </c>
      <c r="I193" s="150">
        <f>I240/'[1]Bevs(2000-2015)'!P266</f>
        <v>0</v>
      </c>
      <c r="J193" s="150">
        <f>J240/'[1]Bevs(2000-2015)'!Q266</f>
        <v>7.7980982189037569E-3</v>
      </c>
      <c r="K193" s="150">
        <f>K240/'[1]Bevs(2000-2015)'!R266</f>
        <v>7.2384898831613321E-3</v>
      </c>
      <c r="L193" s="149">
        <f t="shared" si="4"/>
        <v>1.1127500452863391E-2</v>
      </c>
      <c r="M193" s="149">
        <f t="shared" si="5"/>
        <v>1.4314811642205851E-2</v>
      </c>
      <c r="N193" s="149">
        <f t="shared" si="6"/>
        <v>1.5404045003855565E-2</v>
      </c>
      <c r="O193" s="191" t="s">
        <v>183</v>
      </c>
      <c r="P193" s="191">
        <v>154572</v>
      </c>
      <c r="Q193" s="191">
        <v>157599</v>
      </c>
      <c r="R193" s="191">
        <v>164697</v>
      </c>
    </row>
    <row r="194" spans="2:18" s="475" customFormat="1" ht="15" thickBot="1" x14ac:dyDescent="0.35">
      <c r="B194" s="9" t="s">
        <v>380</v>
      </c>
      <c r="C194" s="59" t="s">
        <v>184</v>
      </c>
      <c r="D194" s="10"/>
      <c r="E194" s="40"/>
      <c r="F194" s="40"/>
      <c r="G194" s="40"/>
      <c r="H194" s="149">
        <f>H241/'[1]Bevs(2000-2015)'!O269</f>
        <v>0</v>
      </c>
      <c r="I194" s="149">
        <f>I241/'[1]Bevs(2000-2015)'!P269</f>
        <v>0</v>
      </c>
      <c r="J194" s="149">
        <f>J241/'[1]Bevs(2000-2015)'!Q269</f>
        <v>5.973351537833258E-3</v>
      </c>
      <c r="K194" s="149">
        <f>K241/'[1]Bevs(2000-2015)'!R269</f>
        <v>6.3781211118224754E-3</v>
      </c>
      <c r="L194" s="149">
        <f t="shared" si="4"/>
        <v>1.169210398761039E-2</v>
      </c>
      <c r="M194" s="149">
        <f t="shared" si="5"/>
        <v>9.9337748344370865E-3</v>
      </c>
      <c r="N194" s="149">
        <f t="shared" si="6"/>
        <v>2.0359389443780577E-2</v>
      </c>
      <c r="O194" s="191" t="s">
        <v>184</v>
      </c>
      <c r="P194" s="191">
        <v>84587</v>
      </c>
      <c r="Q194" s="191">
        <v>85164</v>
      </c>
      <c r="R194" s="191">
        <v>88706</v>
      </c>
    </row>
    <row r="195" spans="2:18" s="475" customFormat="1" ht="15" thickBot="1" x14ac:dyDescent="0.35">
      <c r="B195" s="44" t="s">
        <v>380</v>
      </c>
      <c r="C195" s="45" t="s">
        <v>185</v>
      </c>
      <c r="D195" s="19"/>
      <c r="E195" s="47"/>
      <c r="F195" s="47"/>
      <c r="G195" s="47"/>
      <c r="H195" s="150">
        <f>H242/'[1]Bevs(2000-2015)'!O272</f>
        <v>0</v>
      </c>
      <c r="I195" s="150">
        <f>I242/'[1]Bevs(2000-2015)'!P272</f>
        <v>0</v>
      </c>
      <c r="J195" s="150">
        <f>J242/'[1]Bevs(2000-2015)'!Q272</f>
        <v>0</v>
      </c>
      <c r="K195" s="150">
        <f>K242/'[1]Bevs(2000-2015)'!R272</f>
        <v>0</v>
      </c>
      <c r="L195" s="149">
        <f t="shared" si="4"/>
        <v>0</v>
      </c>
      <c r="M195" s="149">
        <f t="shared" si="5"/>
        <v>0</v>
      </c>
      <c r="N195" s="149">
        <f t="shared" si="6"/>
        <v>0</v>
      </c>
      <c r="O195" s="191" t="s">
        <v>185</v>
      </c>
      <c r="P195" s="191">
        <v>5957</v>
      </c>
      <c r="Q195" s="191">
        <v>5992</v>
      </c>
      <c r="R195" s="191">
        <v>5561</v>
      </c>
    </row>
    <row r="196" spans="2:18" s="475" customFormat="1" ht="29.4" thickBot="1" x14ac:dyDescent="0.35">
      <c r="B196" s="9" t="s">
        <v>380</v>
      </c>
      <c r="C196" s="59" t="s">
        <v>242</v>
      </c>
      <c r="D196" s="10"/>
      <c r="E196" s="40"/>
      <c r="F196" s="40"/>
      <c r="G196" s="40"/>
      <c r="H196" s="149">
        <f>H243/'[1]Bevs(2000-2015)'!O275</f>
        <v>0</v>
      </c>
      <c r="I196" s="149">
        <f>I243/'[1]Bevs(2000-2015)'!P275</f>
        <v>0</v>
      </c>
      <c r="J196" s="149">
        <f>J243/'[1]Bevs(2000-2015)'!Q275</f>
        <v>2.4152208201892746E-3</v>
      </c>
      <c r="K196" s="149">
        <f>K243/'[1]Bevs(2000-2015)'!R275</f>
        <v>1.6402245545521114E-2</v>
      </c>
      <c r="L196" s="149">
        <f t="shared" si="4"/>
        <v>4.6235994183844283E-2</v>
      </c>
      <c r="M196" s="149">
        <f t="shared" si="5"/>
        <v>9.9104462801716652E-3</v>
      </c>
      <c r="N196" s="149">
        <f t="shared" si="6"/>
        <v>1.6193454147076278E-2</v>
      </c>
      <c r="O196" s="191" t="s">
        <v>242</v>
      </c>
      <c r="P196" s="191">
        <v>81841</v>
      </c>
      <c r="Q196" s="191">
        <v>80622</v>
      </c>
      <c r="R196" s="191">
        <v>87628</v>
      </c>
    </row>
    <row r="197" spans="2:18" s="475" customFormat="1" ht="15" thickBot="1" x14ac:dyDescent="0.35">
      <c r="B197" s="44" t="s">
        <v>380</v>
      </c>
      <c r="C197" s="45" t="s">
        <v>187</v>
      </c>
      <c r="D197" s="19"/>
      <c r="E197" s="47"/>
      <c r="F197" s="47"/>
      <c r="G197" s="47"/>
      <c r="H197" s="150">
        <f>H244/'[1]Bevs(2000-2015)'!O278</f>
        <v>0</v>
      </c>
      <c r="I197" s="150">
        <f>I244/'[1]Bevs(2000-2015)'!P278</f>
        <v>0</v>
      </c>
      <c r="J197" s="150">
        <f>J244/'[1]Bevs(2000-2015)'!Q278</f>
        <v>1.5198511166253101E-3</v>
      </c>
      <c r="K197" s="150">
        <f>K244/'[1]Bevs(2000-2015)'!R278</f>
        <v>1.4475053150585788E-3</v>
      </c>
      <c r="L197" s="149">
        <f t="shared" si="4"/>
        <v>2.0182108326293061E-3</v>
      </c>
      <c r="M197" s="149">
        <f t="shared" si="5"/>
        <v>2.1201732226632983E-3</v>
      </c>
      <c r="N197" s="149">
        <f t="shared" si="6"/>
        <v>5.2350443609136977E-3</v>
      </c>
      <c r="O197" s="191" t="s">
        <v>187</v>
      </c>
      <c r="P197" s="191">
        <v>63918</v>
      </c>
      <c r="Q197" s="191">
        <v>66504</v>
      </c>
      <c r="R197" s="191">
        <v>65711</v>
      </c>
    </row>
    <row r="198" spans="2:18" s="475" customFormat="1" ht="15" thickBot="1" x14ac:dyDescent="0.35">
      <c r="B198" s="9" t="s">
        <v>380</v>
      </c>
      <c r="C198" s="59" t="s">
        <v>188</v>
      </c>
      <c r="D198" s="10"/>
      <c r="E198" s="40"/>
      <c r="F198" s="40"/>
      <c r="G198" s="40"/>
      <c r="H198" s="149">
        <f>H245/'[1]Bevs(2000-2015)'!O281</f>
        <v>0</v>
      </c>
      <c r="I198" s="149">
        <f>I245/'[1]Bevs(2000-2015)'!P281</f>
        <v>0</v>
      </c>
      <c r="J198" s="149">
        <f>J245/'[1]Bevs(2000-2015)'!Q281</f>
        <v>0</v>
      </c>
      <c r="K198" s="149">
        <f>K245/'[1]Bevs(2000-2015)'!R281</f>
        <v>9.6380703779930729E-3</v>
      </c>
      <c r="L198" s="149">
        <f t="shared" si="4"/>
        <v>0</v>
      </c>
      <c r="M198" s="149">
        <f t="shared" si="5"/>
        <v>0</v>
      </c>
      <c r="N198" s="149">
        <f t="shared" si="6"/>
        <v>1.0170774398032073E-2</v>
      </c>
      <c r="O198" s="191" t="s">
        <v>188</v>
      </c>
      <c r="P198" s="191">
        <v>19456</v>
      </c>
      <c r="Q198" s="191">
        <v>20328</v>
      </c>
      <c r="R198" s="191">
        <v>21139</v>
      </c>
    </row>
    <row r="199" spans="2:18" s="475" customFormat="1" ht="29.4" thickBot="1" x14ac:dyDescent="0.35">
      <c r="B199" s="44" t="s">
        <v>380</v>
      </c>
      <c r="C199" s="45" t="s">
        <v>243</v>
      </c>
      <c r="D199" s="19"/>
      <c r="E199" s="47"/>
      <c r="F199" s="47"/>
      <c r="G199" s="47"/>
      <c r="H199" s="150">
        <f>H246/'[1]Bevs(2000-2015)'!O284</f>
        <v>0</v>
      </c>
      <c r="I199" s="150">
        <f>I246/'[1]Bevs(2000-2015)'!P284</f>
        <v>0</v>
      </c>
      <c r="J199" s="150">
        <f>J246/'[1]Bevs(2000-2015)'!Q284</f>
        <v>0</v>
      </c>
      <c r="K199" s="150">
        <f>K246/'[1]Bevs(2000-2015)'!R284</f>
        <v>0</v>
      </c>
      <c r="L199" s="149">
        <f t="shared" si="4"/>
        <v>0</v>
      </c>
      <c r="M199" s="149">
        <f t="shared" si="5"/>
        <v>0</v>
      </c>
      <c r="N199" s="149">
        <f t="shared" si="6"/>
        <v>0</v>
      </c>
      <c r="O199" s="191" t="s">
        <v>243</v>
      </c>
      <c r="P199" s="191">
        <v>17533</v>
      </c>
      <c r="Q199" s="191">
        <v>17389</v>
      </c>
      <c r="R199" s="191">
        <v>18854</v>
      </c>
    </row>
    <row r="200" spans="2:18" s="475" customFormat="1" ht="15" thickBot="1" x14ac:dyDescent="0.35">
      <c r="B200" s="9" t="s">
        <v>380</v>
      </c>
      <c r="C200" s="59" t="s">
        <v>244</v>
      </c>
      <c r="D200" s="10"/>
      <c r="E200" s="40"/>
      <c r="F200" s="40"/>
      <c r="G200" s="40"/>
      <c r="H200" s="149">
        <f>H247/'[1]Bevs(2000-2015)'!O287</f>
        <v>0</v>
      </c>
      <c r="I200" s="149">
        <f>I247/'[1]Bevs(2000-2015)'!P287</f>
        <v>0</v>
      </c>
      <c r="J200" s="149">
        <f>J247/'[1]Bevs(2000-2015)'!Q287</f>
        <v>5.9950571365649545E-3</v>
      </c>
      <c r="K200" s="149">
        <f>K247/'[1]Bevs(2000-2015)'!R287</f>
        <v>1.1567379988432619E-3</v>
      </c>
      <c r="L200" s="149">
        <f t="shared" si="4"/>
        <v>1.7038981623656448E-2</v>
      </c>
      <c r="M200" s="149">
        <f t="shared" si="5"/>
        <v>3.9608966795887407E-2</v>
      </c>
      <c r="N200" s="149">
        <f t="shared" si="6"/>
        <v>1.0596590272643772E-2</v>
      </c>
      <c r="O200" s="191" t="s">
        <v>244</v>
      </c>
      <c r="P200" s="191">
        <v>40378</v>
      </c>
      <c r="Q200" s="191">
        <v>41531</v>
      </c>
      <c r="R200" s="191">
        <v>44637</v>
      </c>
    </row>
    <row r="201" spans="2:18" s="475" customFormat="1" ht="15" thickBot="1" x14ac:dyDescent="0.35">
      <c r="B201" s="44" t="s">
        <v>380</v>
      </c>
      <c r="C201" s="45" t="s">
        <v>346</v>
      </c>
      <c r="D201" s="19"/>
      <c r="E201" s="47"/>
      <c r="F201" s="47"/>
      <c r="G201" s="47"/>
      <c r="H201" s="150">
        <f>H248/'[1]Bevs(2000-2015)'!O293</f>
        <v>0</v>
      </c>
      <c r="I201" s="150">
        <f>I248/'[1]Bevs(2000-2015)'!P293</f>
        <v>0</v>
      </c>
      <c r="J201" s="150">
        <f>J248/'[1]Bevs(2000-2015)'!Q293</f>
        <v>1.1075198336460005E-3</v>
      </c>
      <c r="K201" s="150">
        <f>K248/'[1]Bevs(2000-2015)'!R293</f>
        <v>1.069780917782879E-3</v>
      </c>
      <c r="L201" s="149">
        <f t="shared" si="4"/>
        <v>7.5690899489526493E-3</v>
      </c>
      <c r="M201" s="149">
        <f t="shared" si="5"/>
        <v>7.1250676773145644E-3</v>
      </c>
      <c r="N201" s="149">
        <f t="shared" si="6"/>
        <v>5.4492459764288433E-3</v>
      </c>
      <c r="O201" s="191" t="s">
        <v>346</v>
      </c>
      <c r="P201" s="191">
        <v>45448</v>
      </c>
      <c r="Q201" s="191">
        <v>46175</v>
      </c>
      <c r="R201" s="191">
        <v>47346</v>
      </c>
    </row>
    <row r="202" spans="2:18" s="475" customFormat="1" ht="15" thickBot="1" x14ac:dyDescent="0.35">
      <c r="B202" s="9" t="s">
        <v>380</v>
      </c>
      <c r="C202" s="27" t="s">
        <v>191</v>
      </c>
      <c r="D202" s="10"/>
      <c r="E202" s="40"/>
      <c r="F202" s="40"/>
      <c r="G202" s="40"/>
      <c r="H202" s="149">
        <f>H249/'[1]Bevs(2000-2015)'!O296</f>
        <v>0</v>
      </c>
      <c r="I202" s="149">
        <f>I249/'[1]Bevs(2000-2015)'!P296</f>
        <v>0</v>
      </c>
      <c r="J202" s="149">
        <f>J249/'[1]Bevs(2000-2015)'!Q296</f>
        <v>0</v>
      </c>
      <c r="K202" s="149">
        <f>K249/'[1]Bevs(2000-2015)'!R296</f>
        <v>0</v>
      </c>
      <c r="L202" s="149">
        <f t="shared" si="4"/>
        <v>1.4737635809027659E-3</v>
      </c>
      <c r="M202" s="149">
        <f t="shared" si="5"/>
        <v>0</v>
      </c>
      <c r="N202" s="149">
        <f t="shared" si="6"/>
        <v>2.7189377173569397E-3</v>
      </c>
      <c r="O202" s="191" t="s">
        <v>191</v>
      </c>
      <c r="P202" s="191">
        <v>29177</v>
      </c>
      <c r="Q202" s="191">
        <v>29243</v>
      </c>
      <c r="R202" s="191">
        <v>31630</v>
      </c>
    </row>
    <row r="203" spans="2:18" s="475" customFormat="1" ht="15" thickBot="1" x14ac:dyDescent="0.35">
      <c r="B203" s="44" t="s">
        <v>380</v>
      </c>
      <c r="C203" s="45" t="s">
        <v>245</v>
      </c>
      <c r="D203" s="19"/>
      <c r="E203" s="47"/>
      <c r="F203" s="47"/>
      <c r="G203" s="47"/>
      <c r="H203" s="150">
        <f>H250/'[1]Bevs(2000-2015)'!O299</f>
        <v>4.2038644979821449E-4</v>
      </c>
      <c r="I203" s="150">
        <f>I250/'[1]Bevs(2000-2015)'!P299</f>
        <v>0</v>
      </c>
      <c r="J203" s="150">
        <f>J250/'[1]Bevs(2000-2015)'!Q299</f>
        <v>1.8598648751233585E-3</v>
      </c>
      <c r="K203" s="150">
        <f>K250/'[1]Bevs(2000-2015)'!R299</f>
        <v>2.5211975688452016E-3</v>
      </c>
      <c r="L203" s="149">
        <f t="shared" si="4"/>
        <v>4.8426695497443524E-3</v>
      </c>
      <c r="M203" s="149">
        <f t="shared" si="5"/>
        <v>3.1316167434147207E-3</v>
      </c>
      <c r="N203" s="149">
        <f t="shared" si="6"/>
        <v>3.6826103712585107E-3</v>
      </c>
      <c r="O203" s="191" t="s">
        <v>245</v>
      </c>
      <c r="P203" s="191">
        <v>133191</v>
      </c>
      <c r="Q203" s="192">
        <v>135074</v>
      </c>
      <c r="R203" s="192">
        <v>140118</v>
      </c>
    </row>
    <row r="204" spans="2:18" s="475" customFormat="1" ht="15" thickBot="1" x14ac:dyDescent="0.35">
      <c r="B204" s="48" t="s">
        <v>380</v>
      </c>
      <c r="C204" s="49" t="s">
        <v>214</v>
      </c>
      <c r="D204" s="50"/>
      <c r="E204" s="51"/>
      <c r="F204" s="51"/>
      <c r="G204" s="51"/>
      <c r="H204" s="151">
        <f>H219/'[1]Bevs(2000-2015)'!O300</f>
        <v>3.1783859089483564E-4</v>
      </c>
      <c r="I204" s="151">
        <f>I219/'[1]Bevs(2000-2015)'!P300</f>
        <v>0</v>
      </c>
      <c r="J204" s="151">
        <f>J219/'[1]Bevs(2000-2015)'!Q300</f>
        <v>7.0832765063691665E-3</v>
      </c>
      <c r="K204" s="151">
        <f>K219/'[1]Bevs(2000-2015)'!R300</f>
        <v>9.5566015875624463E-3</v>
      </c>
      <c r="L204" s="151">
        <f>L251/P204</f>
        <v>1.4628133272852614E-2</v>
      </c>
      <c r="M204" s="151">
        <f t="shared" si="5"/>
        <v>1.9222730332410148E-2</v>
      </c>
      <c r="N204" s="151">
        <f t="shared" si="6"/>
        <v>2.1201016374355751E-2</v>
      </c>
      <c r="O204" s="191" t="s">
        <v>497</v>
      </c>
      <c r="P204" s="191">
        <f>SUM(P176:P203)</f>
        <v>4682484</v>
      </c>
      <c r="Q204" s="193">
        <f>SUM(Q176:Q203)</f>
        <v>4750938</v>
      </c>
      <c r="R204" s="193">
        <f>SUM(R176:R203)</f>
        <v>4921415</v>
      </c>
    </row>
    <row r="205" spans="2:18" s="475" customFormat="1" x14ac:dyDescent="0.3">
      <c r="B205" s="693" t="s">
        <v>16</v>
      </c>
      <c r="C205" s="690"/>
      <c r="D205" s="37"/>
      <c r="E205" s="37"/>
      <c r="F205" s="37"/>
      <c r="G205" s="37"/>
      <c r="H205" s="37">
        <v>76</v>
      </c>
      <c r="I205" s="37">
        <v>134</v>
      </c>
      <c r="J205" s="37">
        <v>165</v>
      </c>
      <c r="K205" s="37">
        <v>177</v>
      </c>
      <c r="L205" s="37">
        <v>185</v>
      </c>
      <c r="M205" s="37">
        <v>194</v>
      </c>
      <c r="N205" s="37">
        <v>196</v>
      </c>
    </row>
    <row r="206" spans="2:18" s="475" customFormat="1" x14ac:dyDescent="0.3">
      <c r="B206" s="693" t="s">
        <v>372</v>
      </c>
      <c r="C206" s="690"/>
      <c r="D206" s="37"/>
      <c r="E206" s="37"/>
      <c r="F206" s="37"/>
      <c r="G206" s="37"/>
      <c r="H206" s="37">
        <v>13</v>
      </c>
      <c r="I206" s="37">
        <v>66</v>
      </c>
      <c r="J206" s="37">
        <v>71</v>
      </c>
      <c r="K206" s="37">
        <v>73</v>
      </c>
      <c r="L206" s="190">
        <v>72</v>
      </c>
      <c r="M206" s="190">
        <v>73</v>
      </c>
      <c r="N206" s="190">
        <v>72</v>
      </c>
    </row>
    <row r="207" spans="2:18" s="475" customFormat="1" x14ac:dyDescent="0.3">
      <c r="B207" s="693" t="s">
        <v>373</v>
      </c>
      <c r="C207" s="690"/>
      <c r="D207" s="37"/>
      <c r="E207" s="37"/>
      <c r="F207" s="37"/>
      <c r="G207" s="37"/>
      <c r="H207" s="37">
        <v>53</v>
      </c>
      <c r="I207" s="37">
        <v>57</v>
      </c>
      <c r="J207" s="37">
        <v>77</v>
      </c>
      <c r="K207" s="37">
        <v>87</v>
      </c>
      <c r="L207" s="37">
        <v>97</v>
      </c>
      <c r="M207" s="37">
        <v>104</v>
      </c>
      <c r="N207" s="37">
        <v>107</v>
      </c>
    </row>
    <row r="208" spans="2:18" s="475" customFormat="1" x14ac:dyDescent="0.3">
      <c r="B208" s="693" t="s">
        <v>507</v>
      </c>
      <c r="C208" s="690"/>
      <c r="D208" s="37"/>
      <c r="E208" s="37"/>
      <c r="F208" s="37"/>
      <c r="G208" s="37"/>
      <c r="H208" s="37"/>
      <c r="I208" s="37"/>
      <c r="J208" s="37">
        <v>14</v>
      </c>
      <c r="K208" s="37">
        <v>14</v>
      </c>
      <c r="L208" s="37">
        <v>14</v>
      </c>
      <c r="M208" s="37">
        <v>15</v>
      </c>
      <c r="N208" s="37">
        <v>15</v>
      </c>
      <c r="O208" s="37"/>
    </row>
    <row r="209" spans="1:16" s="475" customFormat="1" x14ac:dyDescent="0.3">
      <c r="B209" s="693" t="s">
        <v>506</v>
      </c>
      <c r="C209" s="690"/>
      <c r="D209" s="37"/>
      <c r="E209" s="37"/>
      <c r="F209" s="37"/>
      <c r="G209" s="37"/>
      <c r="H209" s="37"/>
      <c r="I209" s="37"/>
      <c r="J209" s="37">
        <v>3</v>
      </c>
      <c r="K209" s="37">
        <v>3</v>
      </c>
      <c r="L209" s="37">
        <v>2</v>
      </c>
      <c r="M209" s="37">
        <v>2</v>
      </c>
      <c r="N209" s="37">
        <v>2</v>
      </c>
      <c r="O209" s="37"/>
    </row>
    <row r="210" spans="1:16" s="475" customFormat="1" x14ac:dyDescent="0.3">
      <c r="B210" s="698" t="s">
        <v>374</v>
      </c>
      <c r="C210" s="690"/>
      <c r="D210" s="37"/>
      <c r="E210" s="37"/>
      <c r="F210" s="37"/>
      <c r="G210" s="37"/>
      <c r="H210" s="42"/>
      <c r="I210" s="42"/>
      <c r="J210" s="152">
        <v>0.95799999999999996</v>
      </c>
      <c r="K210" s="42"/>
    </row>
    <row r="211" spans="1:16" s="475" customFormat="1" x14ac:dyDescent="0.3">
      <c r="B211" s="698" t="s">
        <v>508</v>
      </c>
      <c r="C211" s="690"/>
      <c r="D211" s="37"/>
      <c r="E211" s="37"/>
      <c r="F211" s="37"/>
      <c r="G211" s="37"/>
      <c r="H211" s="42"/>
      <c r="I211" s="42"/>
      <c r="J211" s="42"/>
      <c r="K211" s="391">
        <v>0.49</v>
      </c>
      <c r="L211" s="391">
        <v>0.49</v>
      </c>
      <c r="M211" s="391">
        <v>0.62</v>
      </c>
      <c r="N211" s="391">
        <v>0.62</v>
      </c>
      <c r="O211" s="42"/>
    </row>
    <row r="212" spans="1:16" s="475" customFormat="1" x14ac:dyDescent="0.3">
      <c r="B212" s="11" t="s">
        <v>9</v>
      </c>
      <c r="C212" s="11"/>
      <c r="D212" s="21"/>
      <c r="E212" s="21"/>
      <c r="F212" s="21"/>
      <c r="G212" s="21"/>
      <c r="H212" s="21"/>
      <c r="I212" s="21"/>
      <c r="J212" s="21"/>
      <c r="K212" s="21"/>
      <c r="L212" s="21"/>
      <c r="M212" s="21"/>
      <c r="N212" s="21"/>
      <c r="O212" s="21"/>
    </row>
    <row r="213" spans="1:16" s="475" customFormat="1" x14ac:dyDescent="0.3">
      <c r="B213" s="693" t="s">
        <v>29</v>
      </c>
      <c r="C213" s="690"/>
      <c r="D213" s="41"/>
      <c r="E213" s="41"/>
      <c r="F213" s="41"/>
      <c r="G213" s="41"/>
      <c r="H213" s="41">
        <v>104973</v>
      </c>
      <c r="I213" s="41">
        <v>378054</v>
      </c>
      <c r="J213" s="41">
        <v>500498</v>
      </c>
      <c r="K213" s="41">
        <v>492866</v>
      </c>
      <c r="L213" s="41">
        <v>559077</v>
      </c>
      <c r="M213" s="41">
        <v>621833</v>
      </c>
      <c r="N213" s="41">
        <v>699275</v>
      </c>
      <c r="O213" s="41"/>
    </row>
    <row r="214" spans="1:16" s="475" customFormat="1" x14ac:dyDescent="0.3">
      <c r="B214" s="693" t="s">
        <v>30</v>
      </c>
      <c r="C214" s="690"/>
      <c r="D214" s="41"/>
      <c r="E214" s="41"/>
      <c r="F214" s="41"/>
      <c r="G214" s="41"/>
      <c r="H214" s="41">
        <f>11458+2500</f>
        <v>13958</v>
      </c>
      <c r="I214" s="41">
        <v>36691</v>
      </c>
      <c r="J214" s="41">
        <v>314477</v>
      </c>
      <c r="K214" s="41">
        <v>176828</v>
      </c>
      <c r="L214" s="41">
        <v>743069</v>
      </c>
      <c r="M214" s="41">
        <v>804916</v>
      </c>
      <c r="N214" s="41">
        <v>505965</v>
      </c>
      <c r="O214" s="41"/>
      <c r="P214" s="41"/>
    </row>
    <row r="215" spans="1:16" s="475" customFormat="1" x14ac:dyDescent="0.3">
      <c r="B215" s="693" t="s">
        <v>376</v>
      </c>
      <c r="C215" s="690"/>
      <c r="D215" s="41"/>
      <c r="E215" s="41"/>
      <c r="F215" s="41"/>
      <c r="G215" s="41"/>
      <c r="H215" s="41">
        <v>979</v>
      </c>
      <c r="I215" s="41">
        <v>8339</v>
      </c>
      <c r="J215" s="41">
        <v>29341</v>
      </c>
      <c r="K215" s="41">
        <v>29544</v>
      </c>
      <c r="L215" s="41">
        <v>109214</v>
      </c>
      <c r="M215" s="41">
        <v>131947</v>
      </c>
      <c r="N215" s="41">
        <v>52741</v>
      </c>
      <c r="O215" s="41"/>
    </row>
    <row r="216" spans="1:16" s="475" customFormat="1" x14ac:dyDescent="0.3">
      <c r="B216" s="693" t="s">
        <v>377</v>
      </c>
      <c r="C216" s="690"/>
      <c r="D216" s="41"/>
      <c r="E216" s="41"/>
      <c r="F216" s="41"/>
      <c r="G216" s="41"/>
      <c r="H216" s="41">
        <v>2500</v>
      </c>
      <c r="I216" s="41">
        <v>2400</v>
      </c>
      <c r="J216" s="41">
        <v>12053</v>
      </c>
      <c r="K216" s="41">
        <v>10515</v>
      </c>
      <c r="L216" s="41">
        <v>10488</v>
      </c>
      <c r="M216" s="41">
        <v>61490</v>
      </c>
      <c r="N216" s="41">
        <v>42587</v>
      </c>
      <c r="O216" s="41"/>
    </row>
    <row r="217" spans="1:16" s="475" customFormat="1" x14ac:dyDescent="0.3">
      <c r="B217" s="693" t="s">
        <v>7</v>
      </c>
      <c r="C217" s="690"/>
      <c r="D217" s="41"/>
      <c r="E217" s="41"/>
      <c r="F217" s="41"/>
      <c r="G217" s="41"/>
      <c r="H217" s="41">
        <f>H213-H214</f>
        <v>91015</v>
      </c>
      <c r="I217" s="41"/>
      <c r="J217" s="41">
        <f>J213-J214</f>
        <v>186021</v>
      </c>
      <c r="K217" s="41">
        <f>K213-K214</f>
        <v>316038</v>
      </c>
      <c r="L217" s="41">
        <v>-183992</v>
      </c>
      <c r="M217" s="41">
        <v>-183083</v>
      </c>
      <c r="N217" s="41">
        <v>193310</v>
      </c>
      <c r="O217" s="41"/>
    </row>
    <row r="218" spans="1:16" s="475" customFormat="1" x14ac:dyDescent="0.3">
      <c r="B218" s="11" t="s">
        <v>8</v>
      </c>
      <c r="C218" s="11"/>
      <c r="D218" s="21"/>
      <c r="E218" s="21"/>
      <c r="F218" s="21"/>
      <c r="G218" s="21"/>
      <c r="H218" s="21"/>
      <c r="I218" s="21"/>
      <c r="J218" s="21"/>
      <c r="K218" s="21"/>
      <c r="L218" s="21"/>
      <c r="M218" s="21"/>
      <c r="N218" s="21"/>
      <c r="O218" s="21"/>
    </row>
    <row r="219" spans="1:16" s="475" customFormat="1" x14ac:dyDescent="0.3">
      <c r="B219" s="702" t="s">
        <v>673</v>
      </c>
      <c r="C219" s="690"/>
      <c r="D219" s="14"/>
      <c r="E219" s="14"/>
      <c r="H219" s="14">
        <v>1430</v>
      </c>
      <c r="I219" s="148"/>
      <c r="J219" s="148">
        <v>32460</v>
      </c>
      <c r="K219" s="148">
        <v>44253</v>
      </c>
      <c r="L219" s="239">
        <v>66481</v>
      </c>
      <c r="M219" s="239">
        <v>89309</v>
      </c>
      <c r="N219" s="239">
        <v>104339</v>
      </c>
      <c r="O219" s="239"/>
    </row>
    <row r="220" spans="1:16" s="475" customFormat="1" x14ac:dyDescent="0.3">
      <c r="C220" s="52"/>
      <c r="D220" s="24"/>
      <c r="E220" s="24"/>
    </row>
    <row r="221" spans="1:16" s="475" customFormat="1" x14ac:dyDescent="0.3">
      <c r="B221" s="699" t="s">
        <v>248</v>
      </c>
      <c r="C221" s="699"/>
      <c r="D221" s="43"/>
      <c r="E221" s="21"/>
      <c r="F221" s="43"/>
      <c r="G221" s="21"/>
      <c r="H221" s="43"/>
      <c r="I221" s="21"/>
      <c r="J221" s="43"/>
      <c r="K221" s="43"/>
      <c r="L221" s="43"/>
      <c r="M221" s="43"/>
      <c r="N221" s="43"/>
      <c r="O221" s="43"/>
    </row>
    <row r="222" spans="1:16" s="475" customFormat="1" x14ac:dyDescent="0.3">
      <c r="B222" s="32"/>
      <c r="C222" s="32"/>
      <c r="D222" s="39">
        <v>2007</v>
      </c>
      <c r="E222" s="39">
        <v>2008</v>
      </c>
      <c r="F222" s="39">
        <v>2009</v>
      </c>
      <c r="G222" s="39">
        <v>2010</v>
      </c>
      <c r="H222" s="39">
        <v>2011</v>
      </c>
      <c r="I222" s="39">
        <v>2012</v>
      </c>
      <c r="J222" s="39">
        <v>2013</v>
      </c>
      <c r="K222" s="39">
        <v>2014</v>
      </c>
      <c r="L222" s="39">
        <v>2015</v>
      </c>
      <c r="M222" s="39">
        <v>2016</v>
      </c>
      <c r="N222" s="39">
        <v>2017</v>
      </c>
      <c r="O222" s="39"/>
    </row>
    <row r="223" spans="1:16" s="475" customFormat="1" x14ac:dyDescent="0.3">
      <c r="A223" s="424">
        <v>1</v>
      </c>
      <c r="B223" s="9" t="s">
        <v>375</v>
      </c>
      <c r="C223" s="59" t="s">
        <v>233</v>
      </c>
      <c r="D223" s="6"/>
      <c r="E223" s="6"/>
      <c r="F223" s="6"/>
      <c r="G223" s="6"/>
      <c r="H223" s="7">
        <v>0</v>
      </c>
      <c r="I223" s="7"/>
      <c r="J223" s="7">
        <v>0</v>
      </c>
      <c r="K223" s="7">
        <v>0</v>
      </c>
      <c r="L223" s="7">
        <v>0</v>
      </c>
      <c r="M223" s="7">
        <v>235</v>
      </c>
      <c r="N223" s="7">
        <v>301</v>
      </c>
      <c r="O223" s="7"/>
    </row>
    <row r="224" spans="1:16" s="475" customFormat="1" x14ac:dyDescent="0.3">
      <c r="A224" s="424">
        <v>2</v>
      </c>
      <c r="B224" s="44" t="s">
        <v>375</v>
      </c>
      <c r="C224" s="45" t="s">
        <v>234</v>
      </c>
      <c r="D224" s="6"/>
      <c r="E224" s="6"/>
      <c r="F224" s="6"/>
      <c r="G224" s="6"/>
      <c r="H224" s="7">
        <v>0</v>
      </c>
      <c r="I224" s="7"/>
      <c r="J224" s="7">
        <v>0</v>
      </c>
      <c r="K224" s="7">
        <v>0</v>
      </c>
      <c r="L224" s="7">
        <v>0</v>
      </c>
      <c r="M224" s="7">
        <v>94</v>
      </c>
      <c r="N224" s="7">
        <v>43</v>
      </c>
      <c r="O224" s="7"/>
    </row>
    <row r="225" spans="1:15" s="475" customFormat="1" x14ac:dyDescent="0.3">
      <c r="A225" s="424">
        <v>3</v>
      </c>
      <c r="B225" s="9" t="s">
        <v>375</v>
      </c>
      <c r="C225" s="59" t="s">
        <v>168</v>
      </c>
      <c r="D225" s="6"/>
      <c r="E225" s="6"/>
      <c r="F225" s="6"/>
      <c r="G225" s="6"/>
      <c r="H225" s="7">
        <v>385</v>
      </c>
      <c r="I225" s="7"/>
      <c r="J225" s="7">
        <v>3479</v>
      </c>
      <c r="K225" s="7">
        <v>4608</v>
      </c>
      <c r="L225" s="7">
        <v>5553</v>
      </c>
      <c r="M225" s="7">
        <v>5499</v>
      </c>
      <c r="N225" s="7">
        <v>7826</v>
      </c>
      <c r="O225" s="7"/>
    </row>
    <row r="226" spans="1:15" s="475" customFormat="1" x14ac:dyDescent="0.3">
      <c r="A226" s="424">
        <v>4</v>
      </c>
      <c r="B226" s="44" t="s">
        <v>375</v>
      </c>
      <c r="C226" s="45" t="s">
        <v>169</v>
      </c>
      <c r="D226" s="6"/>
      <c r="E226" s="6"/>
      <c r="F226" s="6"/>
      <c r="G226" s="6"/>
      <c r="H226" s="7">
        <v>0</v>
      </c>
      <c r="I226" s="7"/>
      <c r="J226" s="7">
        <v>98</v>
      </c>
      <c r="K226" s="7">
        <v>144</v>
      </c>
      <c r="L226" s="7">
        <v>258</v>
      </c>
      <c r="M226" s="7">
        <v>188</v>
      </c>
      <c r="N226" s="7">
        <v>301</v>
      </c>
      <c r="O226" s="7"/>
    </row>
    <row r="227" spans="1:15" s="475" customFormat="1" x14ac:dyDescent="0.3">
      <c r="A227" s="424">
        <v>5</v>
      </c>
      <c r="B227" s="9" t="s">
        <v>375</v>
      </c>
      <c r="C227" s="59" t="s">
        <v>170</v>
      </c>
      <c r="D227" s="6"/>
      <c r="E227" s="6"/>
      <c r="F227" s="6"/>
      <c r="G227" s="6"/>
      <c r="H227" s="7">
        <v>0</v>
      </c>
      <c r="I227" s="7"/>
      <c r="J227" s="7">
        <v>0</v>
      </c>
      <c r="K227" s="7">
        <v>0</v>
      </c>
      <c r="L227" s="7">
        <v>43</v>
      </c>
      <c r="M227" s="7">
        <v>0</v>
      </c>
      <c r="N227" s="7">
        <v>0</v>
      </c>
      <c r="O227" s="7"/>
    </row>
    <row r="228" spans="1:15" s="475" customFormat="1" x14ac:dyDescent="0.3">
      <c r="A228" s="424">
        <v>6</v>
      </c>
      <c r="B228" s="44" t="s">
        <v>375</v>
      </c>
      <c r="C228" s="45" t="s">
        <v>171</v>
      </c>
      <c r="H228" s="7">
        <v>0</v>
      </c>
      <c r="I228" s="7"/>
      <c r="J228" s="7">
        <v>196</v>
      </c>
      <c r="K228" s="7">
        <v>192</v>
      </c>
      <c r="L228" s="7">
        <v>215</v>
      </c>
      <c r="M228" s="7">
        <v>282</v>
      </c>
      <c r="N228" s="7">
        <v>430</v>
      </c>
      <c r="O228" s="7"/>
    </row>
    <row r="229" spans="1:15" s="475" customFormat="1" x14ac:dyDescent="0.3">
      <c r="A229" s="424">
        <v>7</v>
      </c>
      <c r="B229" s="9" t="s">
        <v>375</v>
      </c>
      <c r="C229" s="59" t="s">
        <v>172</v>
      </c>
      <c r="H229" s="7">
        <v>110</v>
      </c>
      <c r="I229" s="7"/>
      <c r="J229" s="7">
        <v>3332</v>
      </c>
      <c r="K229" s="7">
        <v>4080</v>
      </c>
      <c r="L229" s="7">
        <v>4472</v>
      </c>
      <c r="M229" s="7">
        <v>4794</v>
      </c>
      <c r="N229" s="7">
        <v>6407</v>
      </c>
      <c r="O229" s="7"/>
    </row>
    <row r="230" spans="1:15" s="475" customFormat="1" x14ac:dyDescent="0.3">
      <c r="A230" s="424">
        <v>8</v>
      </c>
      <c r="B230" s="44" t="s">
        <v>375</v>
      </c>
      <c r="C230" s="45" t="s">
        <v>235</v>
      </c>
      <c r="H230" s="7">
        <v>0</v>
      </c>
      <c r="I230" s="7"/>
      <c r="J230" s="7">
        <v>0</v>
      </c>
      <c r="K230" s="7">
        <v>96</v>
      </c>
      <c r="L230" s="7">
        <v>215</v>
      </c>
      <c r="M230" s="7">
        <v>94</v>
      </c>
      <c r="N230" s="7">
        <v>387</v>
      </c>
      <c r="O230" s="7"/>
    </row>
    <row r="231" spans="1:15" s="475" customFormat="1" x14ac:dyDescent="0.3">
      <c r="A231" s="424">
        <v>9</v>
      </c>
      <c r="B231" s="9" t="s">
        <v>375</v>
      </c>
      <c r="C231" s="27" t="s">
        <v>345</v>
      </c>
      <c r="H231" s="7">
        <v>0</v>
      </c>
      <c r="I231" s="7"/>
      <c r="J231" s="7">
        <v>0</v>
      </c>
      <c r="K231" s="7">
        <v>240</v>
      </c>
      <c r="L231" s="7">
        <v>559</v>
      </c>
      <c r="M231" s="7">
        <v>658</v>
      </c>
      <c r="N231" s="7">
        <v>1075</v>
      </c>
      <c r="O231" s="7"/>
    </row>
    <row r="232" spans="1:15" s="475" customFormat="1" x14ac:dyDescent="0.3">
      <c r="A232" s="424">
        <v>10</v>
      </c>
      <c r="B232" s="44" t="s">
        <v>375</v>
      </c>
      <c r="C232" s="45" t="s">
        <v>175</v>
      </c>
      <c r="H232" s="7">
        <v>110</v>
      </c>
      <c r="I232" s="7"/>
      <c r="J232" s="7">
        <v>441</v>
      </c>
      <c r="K232" s="7">
        <v>288</v>
      </c>
      <c r="L232" s="7">
        <v>516</v>
      </c>
      <c r="M232" s="7">
        <v>987</v>
      </c>
      <c r="N232" s="7">
        <v>774</v>
      </c>
      <c r="O232" s="7"/>
    </row>
    <row r="233" spans="1:15" s="475" customFormat="1" x14ac:dyDescent="0.3">
      <c r="A233" s="424">
        <v>11</v>
      </c>
      <c r="B233" s="9" t="s">
        <v>375</v>
      </c>
      <c r="C233" s="59" t="s">
        <v>176</v>
      </c>
      <c r="H233" s="7">
        <v>0</v>
      </c>
      <c r="I233" s="7"/>
      <c r="J233" s="7">
        <v>294</v>
      </c>
      <c r="K233" s="7">
        <v>192</v>
      </c>
      <c r="L233" s="7">
        <v>215</v>
      </c>
      <c r="M233" s="7">
        <v>470</v>
      </c>
      <c r="N233" s="7">
        <v>774</v>
      </c>
      <c r="O233" s="7"/>
    </row>
    <row r="234" spans="1:15" s="475" customFormat="1" x14ac:dyDescent="0.3">
      <c r="A234" s="424">
        <v>12</v>
      </c>
      <c r="B234" s="44" t="s">
        <v>375</v>
      </c>
      <c r="C234" s="45" t="s">
        <v>237</v>
      </c>
      <c r="H234" s="7">
        <v>0</v>
      </c>
      <c r="I234" s="7"/>
      <c r="J234" s="7">
        <v>196</v>
      </c>
      <c r="K234" s="7">
        <v>480</v>
      </c>
      <c r="L234" s="7">
        <v>387</v>
      </c>
      <c r="M234" s="7">
        <v>517</v>
      </c>
      <c r="N234" s="7">
        <v>1161</v>
      </c>
      <c r="O234" s="7"/>
    </row>
    <row r="235" spans="1:15" s="475" customFormat="1" x14ac:dyDescent="0.3">
      <c r="A235" s="424">
        <v>13</v>
      </c>
      <c r="B235" s="9" t="s">
        <v>375</v>
      </c>
      <c r="C235" s="59" t="s">
        <v>178</v>
      </c>
      <c r="H235" s="7">
        <v>605</v>
      </c>
      <c r="I235" s="7"/>
      <c r="J235" s="7">
        <v>2450</v>
      </c>
      <c r="K235" s="7">
        <v>3552</v>
      </c>
      <c r="L235" s="7">
        <v>14939</v>
      </c>
      <c r="M235" s="7">
        <v>16065</v>
      </c>
      <c r="N235" s="7">
        <v>13548</v>
      </c>
      <c r="O235" s="7"/>
    </row>
    <row r="236" spans="1:15" s="475" customFormat="1" x14ac:dyDescent="0.3">
      <c r="A236" s="424">
        <v>14</v>
      </c>
      <c r="B236" s="44" t="s">
        <v>375</v>
      </c>
      <c r="C236" s="45" t="s">
        <v>238</v>
      </c>
      <c r="H236" s="7">
        <v>0</v>
      </c>
      <c r="I236" s="7"/>
      <c r="J236" s="7">
        <v>0</v>
      </c>
      <c r="K236" s="7">
        <v>0</v>
      </c>
      <c r="L236" s="7">
        <v>0</v>
      </c>
      <c r="M236" s="7">
        <v>0</v>
      </c>
      <c r="N236" s="7">
        <v>0</v>
      </c>
      <c r="O236" s="7"/>
    </row>
    <row r="237" spans="1:15" s="475" customFormat="1" x14ac:dyDescent="0.3">
      <c r="A237" s="424">
        <v>15</v>
      </c>
      <c r="B237" s="9" t="s">
        <v>375</v>
      </c>
      <c r="C237" s="59" t="s">
        <v>239</v>
      </c>
      <c r="H237" s="7">
        <v>0</v>
      </c>
      <c r="I237" s="7"/>
      <c r="J237" s="7">
        <v>196</v>
      </c>
      <c r="K237" s="7">
        <v>96</v>
      </c>
      <c r="L237" s="7">
        <v>215</v>
      </c>
      <c r="M237" s="7">
        <v>423</v>
      </c>
      <c r="N237" s="7">
        <v>602</v>
      </c>
      <c r="O237" s="7"/>
    </row>
    <row r="238" spans="1:15" s="475" customFormat="1" x14ac:dyDescent="0.3">
      <c r="A238" s="424">
        <v>16</v>
      </c>
      <c r="B238" s="44" t="s">
        <v>375</v>
      </c>
      <c r="C238" s="45" t="s">
        <v>240</v>
      </c>
      <c r="H238" s="7">
        <v>55</v>
      </c>
      <c r="I238" s="7"/>
      <c r="J238" s="7">
        <v>19279</v>
      </c>
      <c r="K238" s="7">
        <v>26589</v>
      </c>
      <c r="L238" s="7">
        <v>30552</v>
      </c>
      <c r="M238" s="606">
        <v>52565</v>
      </c>
      <c r="N238" s="7">
        <v>63056</v>
      </c>
      <c r="O238" s="7"/>
    </row>
    <row r="239" spans="1:15" s="475" customFormat="1" x14ac:dyDescent="0.3">
      <c r="A239" s="424">
        <v>17</v>
      </c>
      <c r="B239" s="9" t="s">
        <v>375</v>
      </c>
      <c r="C239" s="59" t="s">
        <v>241</v>
      </c>
      <c r="H239" s="7">
        <v>0</v>
      </c>
      <c r="I239" s="7"/>
      <c r="J239" s="7">
        <v>0</v>
      </c>
      <c r="K239" s="7">
        <v>0</v>
      </c>
      <c r="L239" s="7">
        <v>0</v>
      </c>
      <c r="M239" s="7">
        <v>0</v>
      </c>
      <c r="N239" s="7">
        <v>0</v>
      </c>
      <c r="O239" s="7"/>
    </row>
    <row r="240" spans="1:15" s="475" customFormat="1" x14ac:dyDescent="0.3">
      <c r="A240" s="424">
        <v>18</v>
      </c>
      <c r="B240" s="44" t="s">
        <v>375</v>
      </c>
      <c r="C240" s="45" t="s">
        <v>183</v>
      </c>
      <c r="H240" s="7">
        <v>110</v>
      </c>
      <c r="I240" s="7"/>
      <c r="J240" s="7">
        <v>1176</v>
      </c>
      <c r="K240" s="7">
        <v>1104</v>
      </c>
      <c r="L240" s="7">
        <v>1720</v>
      </c>
      <c r="M240" s="606">
        <v>2256</v>
      </c>
      <c r="N240" s="7">
        <v>2537</v>
      </c>
      <c r="O240" s="7"/>
    </row>
    <row r="241" spans="1:17" s="475" customFormat="1" x14ac:dyDescent="0.3">
      <c r="A241" s="424">
        <v>19</v>
      </c>
      <c r="B241" s="9" t="s">
        <v>375</v>
      </c>
      <c r="C241" s="59" t="s">
        <v>184</v>
      </c>
      <c r="H241" s="7">
        <v>0</v>
      </c>
      <c r="I241" s="7"/>
      <c r="J241" s="7">
        <v>490</v>
      </c>
      <c r="K241" s="7">
        <v>528</v>
      </c>
      <c r="L241" s="7">
        <v>989</v>
      </c>
      <c r="M241" s="7">
        <v>846</v>
      </c>
      <c r="N241" s="7">
        <v>1806</v>
      </c>
      <c r="O241" s="7"/>
    </row>
    <row r="242" spans="1:17" s="475" customFormat="1" x14ac:dyDescent="0.3">
      <c r="A242" s="424">
        <v>20</v>
      </c>
      <c r="B242" s="44" t="s">
        <v>375</v>
      </c>
      <c r="C242" s="45" t="s">
        <v>185</v>
      </c>
      <c r="H242" s="7">
        <v>0</v>
      </c>
      <c r="I242" s="7"/>
      <c r="J242" s="7">
        <v>0</v>
      </c>
      <c r="K242" s="7">
        <v>0</v>
      </c>
      <c r="L242" s="7">
        <v>0</v>
      </c>
      <c r="M242" s="7">
        <v>0</v>
      </c>
      <c r="N242" s="7">
        <v>0</v>
      </c>
      <c r="O242" s="7"/>
    </row>
    <row r="243" spans="1:17" s="475" customFormat="1" x14ac:dyDescent="0.3">
      <c r="A243" s="424">
        <v>21</v>
      </c>
      <c r="B243" s="9" t="s">
        <v>375</v>
      </c>
      <c r="C243" s="59" t="s">
        <v>242</v>
      </c>
      <c r="H243" s="7">
        <v>0</v>
      </c>
      <c r="I243" s="7"/>
      <c r="J243" s="7">
        <v>196</v>
      </c>
      <c r="K243" s="7">
        <v>1344</v>
      </c>
      <c r="L243" s="7">
        <v>3784</v>
      </c>
      <c r="M243" s="7">
        <v>799</v>
      </c>
      <c r="N243" s="7">
        <v>1419</v>
      </c>
      <c r="O243" s="7"/>
    </row>
    <row r="244" spans="1:17" s="475" customFormat="1" x14ac:dyDescent="0.3">
      <c r="A244" s="424">
        <v>22</v>
      </c>
      <c r="B244" s="44" t="s">
        <v>375</v>
      </c>
      <c r="C244" s="45" t="s">
        <v>187</v>
      </c>
      <c r="H244" s="7">
        <v>0</v>
      </c>
      <c r="I244" s="7"/>
      <c r="J244" s="7">
        <v>98</v>
      </c>
      <c r="K244" s="7">
        <v>96</v>
      </c>
      <c r="L244" s="7">
        <v>129</v>
      </c>
      <c r="M244" s="7">
        <v>141</v>
      </c>
      <c r="N244" s="7">
        <v>344</v>
      </c>
      <c r="O244" s="7"/>
    </row>
    <row r="245" spans="1:17" s="475" customFormat="1" x14ac:dyDescent="0.3">
      <c r="A245" s="424">
        <v>23</v>
      </c>
      <c r="B245" s="9" t="s">
        <v>375</v>
      </c>
      <c r="C245" s="59" t="s">
        <v>188</v>
      </c>
      <c r="H245" s="7">
        <v>0</v>
      </c>
      <c r="I245" s="7"/>
      <c r="J245" s="7">
        <v>0</v>
      </c>
      <c r="K245" s="7">
        <v>192</v>
      </c>
      <c r="L245" s="7">
        <v>0</v>
      </c>
      <c r="M245" s="7">
        <v>0</v>
      </c>
      <c r="N245" s="7">
        <v>215</v>
      </c>
      <c r="O245" s="7"/>
    </row>
    <row r="246" spans="1:17" s="475" customFormat="1" x14ac:dyDescent="0.3">
      <c r="A246" s="424">
        <v>24</v>
      </c>
      <c r="B246" s="44" t="s">
        <v>375</v>
      </c>
      <c r="C246" s="45" t="s">
        <v>243</v>
      </c>
      <c r="H246" s="7">
        <v>0</v>
      </c>
      <c r="I246" s="7"/>
      <c r="J246" s="7">
        <v>0</v>
      </c>
      <c r="K246" s="7">
        <v>0</v>
      </c>
      <c r="L246" s="7">
        <v>0</v>
      </c>
      <c r="M246" s="7">
        <v>0</v>
      </c>
      <c r="N246" s="7">
        <v>0</v>
      </c>
      <c r="O246" s="7"/>
    </row>
    <row r="247" spans="1:17" s="475" customFormat="1" x14ac:dyDescent="0.3">
      <c r="A247" s="424">
        <v>25</v>
      </c>
      <c r="B247" s="9" t="s">
        <v>375</v>
      </c>
      <c r="C247" s="59" t="s">
        <v>244</v>
      </c>
      <c r="H247" s="7">
        <v>0</v>
      </c>
      <c r="I247" s="7"/>
      <c r="J247" s="7">
        <v>245</v>
      </c>
      <c r="K247" s="7">
        <v>48</v>
      </c>
      <c r="L247" s="7">
        <v>688</v>
      </c>
      <c r="M247" s="7">
        <v>1645</v>
      </c>
      <c r="N247" s="7">
        <v>473</v>
      </c>
      <c r="O247" s="7"/>
    </row>
    <row r="248" spans="1:17" s="475" customFormat="1" x14ac:dyDescent="0.3">
      <c r="A248" s="424">
        <v>26</v>
      </c>
      <c r="B248" s="44" t="s">
        <v>375</v>
      </c>
      <c r="C248" s="45" t="s">
        <v>346</v>
      </c>
      <c r="H248" s="7">
        <v>0</v>
      </c>
      <c r="I248" s="7"/>
      <c r="J248" s="7">
        <v>49</v>
      </c>
      <c r="K248" s="7">
        <v>48</v>
      </c>
      <c r="L248" s="7">
        <v>344</v>
      </c>
      <c r="M248" s="7">
        <v>329</v>
      </c>
      <c r="N248" s="7">
        <v>258</v>
      </c>
      <c r="O248" s="7"/>
    </row>
    <row r="249" spans="1:17" s="475" customFormat="1" x14ac:dyDescent="0.3">
      <c r="A249" s="424">
        <v>27</v>
      </c>
      <c r="B249" s="9" t="s">
        <v>375</v>
      </c>
      <c r="C249" s="27" t="s">
        <v>191</v>
      </c>
      <c r="H249" s="7">
        <v>0</v>
      </c>
      <c r="I249" s="7"/>
      <c r="J249" s="7">
        <v>0</v>
      </c>
      <c r="K249" s="7">
        <v>0</v>
      </c>
      <c r="L249" s="7">
        <v>43</v>
      </c>
      <c r="M249" s="7">
        <v>0</v>
      </c>
      <c r="N249" s="7">
        <v>86</v>
      </c>
      <c r="O249" s="7"/>
    </row>
    <row r="250" spans="1:17" s="475" customFormat="1" ht="15" thickBot="1" x14ac:dyDescent="0.35">
      <c r="A250" s="424">
        <v>28</v>
      </c>
      <c r="B250" s="603" t="s">
        <v>375</v>
      </c>
      <c r="C250" s="604" t="s">
        <v>245</v>
      </c>
      <c r="D250" s="516"/>
      <c r="E250" s="516"/>
      <c r="F250" s="516"/>
      <c r="G250" s="516"/>
      <c r="H250" s="605">
        <v>55</v>
      </c>
      <c r="I250" s="605"/>
      <c r="J250" s="605">
        <v>245</v>
      </c>
      <c r="K250" s="605">
        <v>336</v>
      </c>
      <c r="L250" s="605">
        <v>645</v>
      </c>
      <c r="M250" s="605">
        <v>423</v>
      </c>
      <c r="N250" s="605">
        <v>516</v>
      </c>
      <c r="O250" s="7"/>
    </row>
    <row r="251" spans="1:17" s="475" customFormat="1" x14ac:dyDescent="0.3">
      <c r="B251" s="223" t="s">
        <v>375</v>
      </c>
      <c r="C251" s="238" t="s">
        <v>780</v>
      </c>
      <c r="D251" s="157"/>
      <c r="E251" s="157"/>
      <c r="F251" s="157"/>
      <c r="G251" s="157"/>
      <c r="H251" s="157"/>
      <c r="I251" s="157"/>
      <c r="J251" s="157"/>
      <c r="K251" s="158">
        <f>SUM(K222:K250)</f>
        <v>46267</v>
      </c>
      <c r="L251" s="229">
        <f>SUM(L222:L250)</f>
        <v>68496</v>
      </c>
      <c r="M251" s="229">
        <f>SUM(M222:M250)</f>
        <v>91326</v>
      </c>
      <c r="N251" s="229">
        <v>104339</v>
      </c>
      <c r="O251" s="2"/>
    </row>
    <row r="252" spans="1:17" s="475" customFormat="1" x14ac:dyDescent="0.3">
      <c r="B252" s="223" t="s">
        <v>781</v>
      </c>
      <c r="C252" s="597"/>
      <c r="D252" s="157"/>
      <c r="E252" s="157"/>
      <c r="F252" s="157"/>
      <c r="G252" s="157"/>
      <c r="H252" s="157"/>
      <c r="I252" s="157"/>
      <c r="J252" s="157"/>
      <c r="K252" s="158" t="s">
        <v>788</v>
      </c>
      <c r="L252" s="229"/>
      <c r="M252" s="229"/>
      <c r="N252" s="2"/>
      <c r="O252" s="2"/>
    </row>
    <row r="253" spans="1:17" s="6" customFormat="1" ht="23.4" x14ac:dyDescent="0.45">
      <c r="B253" s="30" t="s">
        <v>381</v>
      </c>
      <c r="C253" s="30"/>
      <c r="D253" s="5"/>
      <c r="E253" s="5"/>
      <c r="F253" s="5"/>
      <c r="G253" s="5"/>
      <c r="H253" s="5"/>
      <c r="I253" s="5"/>
      <c r="J253" s="5"/>
      <c r="K253" s="5"/>
      <c r="L253" s="5"/>
      <c r="M253" s="5"/>
      <c r="N253" s="5"/>
      <c r="O253" s="5"/>
    </row>
    <row r="254" spans="1:17" s="475" customFormat="1" ht="28.8" x14ac:dyDescent="0.3">
      <c r="B254" s="32"/>
      <c r="C254" s="32"/>
      <c r="D254" s="39">
        <v>2007</v>
      </c>
      <c r="E254" s="39">
        <v>2008</v>
      </c>
      <c r="F254" s="39">
        <v>2009</v>
      </c>
      <c r="G254" s="39">
        <v>2010</v>
      </c>
      <c r="H254" s="39">
        <v>2011</v>
      </c>
      <c r="I254" s="39">
        <v>2012</v>
      </c>
      <c r="J254" s="39">
        <v>2013</v>
      </c>
      <c r="K254" s="39">
        <v>2014</v>
      </c>
      <c r="L254" s="39">
        <v>2015</v>
      </c>
      <c r="M254" s="39">
        <v>2016</v>
      </c>
      <c r="N254" s="39">
        <v>2017</v>
      </c>
      <c r="O254" s="581" t="s">
        <v>510</v>
      </c>
      <c r="P254" s="581" t="s">
        <v>510</v>
      </c>
      <c r="Q254" s="581" t="s">
        <v>510</v>
      </c>
    </row>
    <row r="255" spans="1:17" s="475" customFormat="1" ht="29.4" thickBot="1" x14ac:dyDescent="0.35">
      <c r="B255" s="11" t="s">
        <v>10</v>
      </c>
      <c r="C255" s="11"/>
      <c r="D255" s="21"/>
      <c r="E255" s="21"/>
      <c r="F255" s="21"/>
      <c r="G255" s="21"/>
      <c r="H255" s="21"/>
      <c r="I255" s="21"/>
      <c r="J255" s="21"/>
      <c r="K255" s="21"/>
      <c r="L255" s="21"/>
      <c r="M255" s="21"/>
      <c r="N255" s="21"/>
      <c r="O255" s="582" t="s">
        <v>595</v>
      </c>
      <c r="P255" s="582" t="s">
        <v>663</v>
      </c>
      <c r="Q255" s="582" t="s">
        <v>725</v>
      </c>
    </row>
    <row r="256" spans="1:17" s="475" customFormat="1" ht="15" thickBot="1" x14ac:dyDescent="0.35">
      <c r="B256" s="9" t="s">
        <v>380</v>
      </c>
      <c r="C256" s="59" t="s">
        <v>233</v>
      </c>
      <c r="D256" s="10"/>
      <c r="E256" s="40"/>
      <c r="F256" s="40"/>
      <c r="G256" s="149">
        <f>G304/'[1]Bevs(2000-2015)'!N212</f>
        <v>1.8656358815448998E-2</v>
      </c>
      <c r="H256" s="149">
        <f>H304/'[1]Bevs(2000-2015)'!O212</f>
        <v>8.6286058072891927E-2</v>
      </c>
      <c r="I256" s="149">
        <f>I304/'[1]Bevs(2000-2015)'!P212</f>
        <v>0.20444074737650372</v>
      </c>
      <c r="J256" s="149">
        <f>J304/'[1]Bevs(2000-2015)'!Q212</f>
        <v>0.31727311019667565</v>
      </c>
      <c r="K256" s="149">
        <f>K304/'[1]Bevs(2000-2015)'!R212</f>
        <v>0.7020663298354709</v>
      </c>
      <c r="L256" s="427">
        <f>L304/O256</f>
        <v>0.7245399588121969</v>
      </c>
      <c r="M256" s="427">
        <f>M304/P256</f>
        <v>0.3879756518342502</v>
      </c>
      <c r="N256" s="427">
        <f>N304/Q256</f>
        <v>0.70913822133782334</v>
      </c>
      <c r="O256" s="191">
        <v>30106</v>
      </c>
      <c r="P256" s="191">
        <v>30721</v>
      </c>
      <c r="Q256" s="191">
        <v>32665</v>
      </c>
    </row>
    <row r="257" spans="2:17" s="475" customFormat="1" ht="15" thickBot="1" x14ac:dyDescent="0.35">
      <c r="B257" s="44" t="s">
        <v>380</v>
      </c>
      <c r="C257" s="45" t="s">
        <v>234</v>
      </c>
      <c r="D257" s="19"/>
      <c r="E257" s="47"/>
      <c r="F257" s="47"/>
      <c r="G257" s="150">
        <f>G305/'[1]Bevs(2000-2015)'!N215</f>
        <v>3.5688793718772305E-3</v>
      </c>
      <c r="H257" s="150">
        <f>H305/'[1]Bevs(2000-2015)'!O215</f>
        <v>2.0699160506202231E-2</v>
      </c>
      <c r="I257" s="150">
        <f>I305/'[1]Bevs(2000-2015)'!P215</f>
        <v>1.8930205806596816E-2</v>
      </c>
      <c r="J257" s="150">
        <f>J305/'[1]Bevs(2000-2015)'!Q215</f>
        <v>4.1456596615584283E-2</v>
      </c>
      <c r="K257" s="150">
        <f>K305/'[1]Bevs(2000-2015)'!R215</f>
        <v>0.18280634857751257</v>
      </c>
      <c r="L257" s="427">
        <f t="shared" ref="L257:L285" si="7">L305/O257</f>
        <v>0.34167562567192539</v>
      </c>
      <c r="M257" s="427">
        <f t="shared" ref="M257:M264" si="8">M305/P257</f>
        <v>0.14956788747740385</v>
      </c>
      <c r="N257" s="427">
        <f t="shared" ref="N257:N285" si="9">N305/Q257</f>
        <v>0.53488430520312535</v>
      </c>
      <c r="O257" s="191">
        <v>39997</v>
      </c>
      <c r="P257" s="191">
        <v>40383</v>
      </c>
      <c r="Q257" s="191">
        <v>39803</v>
      </c>
    </row>
    <row r="258" spans="2:17" s="475" customFormat="1" ht="15" thickBot="1" x14ac:dyDescent="0.35">
      <c r="B258" s="9" t="s">
        <v>380</v>
      </c>
      <c r="C258" s="59" t="s">
        <v>168</v>
      </c>
      <c r="D258" s="10"/>
      <c r="E258" s="40"/>
      <c r="F258" s="40"/>
      <c r="G258" s="149">
        <f>G306/'[1]Bevs(2000-2015)'!N218</f>
        <v>1.8072930166568899E-2</v>
      </c>
      <c r="H258" s="149">
        <f>H306/'[1]Bevs(2000-2015)'!O218</f>
        <v>7.3709579144361756E-2</v>
      </c>
      <c r="I258" s="149">
        <f>I306/'[1]Bevs(2000-2015)'!P218</f>
        <v>0.23215471560030901</v>
      </c>
      <c r="J258" s="149">
        <f>J306/'[1]Bevs(2000-2015)'!Q218</f>
        <v>0.75398973778837219</v>
      </c>
      <c r="K258" s="149">
        <f>K306/'[1]Bevs(2000-2015)'!R218</f>
        <v>0.74493573858342976</v>
      </c>
      <c r="L258" s="427">
        <f t="shared" si="7"/>
        <v>0.87915057608474123</v>
      </c>
      <c r="M258" s="427">
        <f t="shared" si="8"/>
        <v>0.61399469482157087</v>
      </c>
      <c r="N258" s="427">
        <f t="shared" si="9"/>
        <v>1.094994770143521</v>
      </c>
      <c r="O258" s="191">
        <v>377809</v>
      </c>
      <c r="P258" s="191">
        <v>382645</v>
      </c>
      <c r="Q258" s="191">
        <v>408233</v>
      </c>
    </row>
    <row r="259" spans="2:17" s="475" customFormat="1" ht="15" thickBot="1" x14ac:dyDescent="0.35">
      <c r="B259" s="44" t="s">
        <v>380</v>
      </c>
      <c r="C259" s="45" t="s">
        <v>169</v>
      </c>
      <c r="D259" s="19"/>
      <c r="E259" s="47"/>
      <c r="F259" s="47"/>
      <c r="G259" s="150">
        <f>G307/'[1]Bevs(2000-2015)'!N221</f>
        <v>0</v>
      </c>
      <c r="H259" s="150">
        <f>H307/'[1]Bevs(2000-2015)'!O221</f>
        <v>4.3544871592380831E-2</v>
      </c>
      <c r="I259" s="150">
        <f>I307/'[1]Bevs(2000-2015)'!P221</f>
        <v>0.11396237181214436</v>
      </c>
      <c r="J259" s="150">
        <f>J307/'[1]Bevs(2000-2015)'!Q221</f>
        <v>0.37166255863878506</v>
      </c>
      <c r="K259" s="150">
        <f>K307/'[1]Bevs(2000-2015)'!R221</f>
        <v>0.6103848774381645</v>
      </c>
      <c r="L259" s="427">
        <f t="shared" si="7"/>
        <v>0.93365240993848675</v>
      </c>
      <c r="M259" s="427">
        <f t="shared" si="8"/>
        <v>0.51609069734277702</v>
      </c>
      <c r="N259" s="427">
        <f t="shared" si="9"/>
        <v>0.72207592207592208</v>
      </c>
      <c r="O259" s="191">
        <v>62263</v>
      </c>
      <c r="P259" s="191">
        <v>63111</v>
      </c>
      <c r="Q259" s="191">
        <v>64935</v>
      </c>
    </row>
    <row r="260" spans="2:17" s="475" customFormat="1" ht="15" thickBot="1" x14ac:dyDescent="0.35">
      <c r="B260" s="9" t="s">
        <v>380</v>
      </c>
      <c r="C260" s="59" t="s">
        <v>170</v>
      </c>
      <c r="D260" s="10"/>
      <c r="E260" s="40"/>
      <c r="F260" s="40"/>
      <c r="G260" s="149">
        <f>G308/'[1]Bevs(2000-2015)'!N224</f>
        <v>0</v>
      </c>
      <c r="H260" s="149">
        <f>H308/'[1]Bevs(2000-2015)'!O224</f>
        <v>0</v>
      </c>
      <c r="I260" s="149">
        <f>I308/'[1]Bevs(2000-2015)'!P224</f>
        <v>0</v>
      </c>
      <c r="J260" s="149">
        <f>J308/'[1]Bevs(2000-2015)'!Q224</f>
        <v>0.18633159669016242</v>
      </c>
      <c r="K260" s="149">
        <f>K308/'[1]Bevs(2000-2015)'!R224</f>
        <v>0.1095679012345679</v>
      </c>
      <c r="L260" s="427">
        <f t="shared" si="7"/>
        <v>0</v>
      </c>
      <c r="M260" s="427">
        <f t="shared" si="8"/>
        <v>0</v>
      </c>
      <c r="N260" s="427">
        <f t="shared" si="9"/>
        <v>0</v>
      </c>
      <c r="O260" s="191">
        <v>3197</v>
      </c>
      <c r="P260" s="191">
        <v>3248</v>
      </c>
      <c r="Q260" s="191">
        <v>3496</v>
      </c>
    </row>
    <row r="261" spans="2:17" s="475" customFormat="1" ht="15" thickBot="1" x14ac:dyDescent="0.35">
      <c r="B261" s="44" t="s">
        <v>380</v>
      </c>
      <c r="C261" s="45" t="s">
        <v>171</v>
      </c>
      <c r="D261" s="19"/>
      <c r="E261" s="47"/>
      <c r="F261" s="47"/>
      <c r="G261" s="150">
        <f>G309/'[1]Bevs(2000-2015)'!N227</f>
        <v>1.6181944892998588E-2</v>
      </c>
      <c r="H261" s="150">
        <f>H309/'[1]Bevs(2000-2015)'!O227</f>
        <v>3.4841560281295848E-2</v>
      </c>
      <c r="I261" s="150">
        <f>I309/'[1]Bevs(2000-2015)'!P227</f>
        <v>9.68040370058873E-2</v>
      </c>
      <c r="J261" s="150">
        <f>J309/'[1]Bevs(2000-2015)'!Q227</f>
        <v>0.1819146249052791</v>
      </c>
      <c r="K261" s="150">
        <f>K309/'[1]Bevs(2000-2015)'!R227</f>
        <v>0.32706246979821041</v>
      </c>
      <c r="L261" s="427">
        <f t="shared" si="7"/>
        <v>0.53529118136439269</v>
      </c>
      <c r="M261" s="427">
        <f t="shared" si="8"/>
        <v>0.28913204442616208</v>
      </c>
      <c r="N261" s="427">
        <f t="shared" si="9"/>
        <v>0.77212275391253948</v>
      </c>
      <c r="O261" s="191">
        <v>60100</v>
      </c>
      <c r="P261" s="191">
        <v>60775</v>
      </c>
      <c r="Q261" s="191">
        <v>62108</v>
      </c>
    </row>
    <row r="262" spans="2:17" s="475" customFormat="1" ht="15" thickBot="1" x14ac:dyDescent="0.35">
      <c r="B262" s="9" t="s">
        <v>380</v>
      </c>
      <c r="C262" s="59" t="s">
        <v>172</v>
      </c>
      <c r="D262" s="10"/>
      <c r="E262" s="40"/>
      <c r="F262" s="40"/>
      <c r="G262" s="149">
        <f>G310/'[1]Bevs(2000-2015)'!N230</f>
        <v>5.2703206971486269E-2</v>
      </c>
      <c r="H262" s="149">
        <f>H310/'[1]Bevs(2000-2015)'!O230</f>
        <v>0.12780008827327663</v>
      </c>
      <c r="I262" s="149">
        <f>I310/'[1]Bevs(2000-2015)'!P230</f>
        <v>0.37845202309638631</v>
      </c>
      <c r="J262" s="149">
        <f>J310/'[1]Bevs(2000-2015)'!Q230</f>
        <v>1.3875467882803425</v>
      </c>
      <c r="K262" s="149">
        <f>K310/'[1]Bevs(2000-2015)'!R230</f>
        <v>0.92507752695613588</v>
      </c>
      <c r="L262" s="427">
        <f t="shared" si="7"/>
        <v>0.99770870946129098</v>
      </c>
      <c r="M262" s="427">
        <f t="shared" si="8"/>
        <v>0.95049092984904227</v>
      </c>
      <c r="N262" s="427">
        <f t="shared" si="9"/>
        <v>1.6098655146323009</v>
      </c>
      <c r="O262" s="191">
        <v>195523</v>
      </c>
      <c r="P262" s="191">
        <v>197075</v>
      </c>
      <c r="Q262" s="191">
        <v>204855</v>
      </c>
    </row>
    <row r="263" spans="2:17" s="475" customFormat="1" ht="15" thickBot="1" x14ac:dyDescent="0.35">
      <c r="B263" s="44" t="s">
        <v>380</v>
      </c>
      <c r="C263" s="45" t="s">
        <v>235</v>
      </c>
      <c r="D263" s="19"/>
      <c r="E263" s="47"/>
      <c r="F263" s="47"/>
      <c r="G263" s="150">
        <f>G311/'[1]Bevs(2000-2015)'!N233</f>
        <v>1.8009905447996397E-2</v>
      </c>
      <c r="H263" s="150">
        <f>H311/'[1]Bevs(2000-2015)'!O233</f>
        <v>6.7084358043486753E-2</v>
      </c>
      <c r="I263" s="150">
        <f>I311/'[1]Bevs(2000-2015)'!P233</f>
        <v>9.5347152896040094E-2</v>
      </c>
      <c r="J263" s="150">
        <f>J311/'[1]Bevs(2000-2015)'!Q233</f>
        <v>0.38643715568451387</v>
      </c>
      <c r="K263" s="150">
        <f>K311/'[1]Bevs(2000-2015)'!R233</f>
        <v>0.35756627855336076</v>
      </c>
      <c r="L263" s="427">
        <f t="shared" si="7"/>
        <v>0.98258537249033062</v>
      </c>
      <c r="M263" s="427">
        <f t="shared" si="8"/>
        <v>0.69337382979950402</v>
      </c>
      <c r="N263" s="427">
        <f t="shared" si="9"/>
        <v>1.0110496221801402</v>
      </c>
      <c r="O263" s="191">
        <v>51451</v>
      </c>
      <c r="P263" s="191">
        <v>52021</v>
      </c>
      <c r="Q263" s="191">
        <v>54391</v>
      </c>
    </row>
    <row r="264" spans="2:17" s="475" customFormat="1" ht="15" thickBot="1" x14ac:dyDescent="0.35">
      <c r="B264" s="9" t="s">
        <v>380</v>
      </c>
      <c r="C264" s="27" t="s">
        <v>345</v>
      </c>
      <c r="D264" s="10"/>
      <c r="E264" s="40"/>
      <c r="F264" s="40"/>
      <c r="G264" s="149"/>
      <c r="H264" s="149"/>
      <c r="I264" s="149"/>
      <c r="J264" s="149">
        <f>J312/'[1]Bevs(2000-2015)'!Q239</f>
        <v>0.36164400571180233</v>
      </c>
      <c r="K264" s="149">
        <f>K312/'[1]Bevs(2000-2015)'!R239</f>
        <v>0.65353733813951331</v>
      </c>
      <c r="L264" s="427">
        <f t="shared" si="7"/>
        <v>0.32156450165547545</v>
      </c>
      <c r="M264" s="427">
        <f t="shared" si="8"/>
        <v>0.46558823075855477</v>
      </c>
      <c r="N264" s="427">
        <f t="shared" si="9"/>
        <v>1.6094446178732582</v>
      </c>
      <c r="O264" s="191">
        <v>64634</v>
      </c>
      <c r="P264" s="191">
        <v>64847</v>
      </c>
      <c r="Q264" s="191">
        <v>70474</v>
      </c>
    </row>
    <row r="265" spans="2:17" s="475" customFormat="1" ht="15" thickBot="1" x14ac:dyDescent="0.35">
      <c r="B265" s="9" t="s">
        <v>380</v>
      </c>
      <c r="C265" s="27" t="s">
        <v>174</v>
      </c>
      <c r="D265" s="10"/>
      <c r="E265" s="40"/>
      <c r="F265" s="40"/>
      <c r="G265" s="149">
        <f>G313/('[1]Bevs(2000-2015)'!N239+'[1]Bevs(2000-2015)'!N293)</f>
        <v>3.4231602838990542E-3</v>
      </c>
      <c r="H265" s="149">
        <f>H313/('[1]Bevs(2000-2015)'!O239+'[1]Bevs(2000-2015)'!O293)</f>
        <v>9.5325118833356412E-2</v>
      </c>
      <c r="I265" s="149">
        <f>I313/('[1]Bevs(2000-2015)'!P239+'[1]Bevs(2000-2015)'!P293)</f>
        <v>0.1424543167555912</v>
      </c>
      <c r="J265" s="149"/>
      <c r="K265" s="149"/>
      <c r="L265" s="427"/>
      <c r="M265" s="427"/>
      <c r="N265" s="427"/>
    </row>
    <row r="266" spans="2:17" s="475" customFormat="1" ht="15" thickBot="1" x14ac:dyDescent="0.35">
      <c r="B266" s="44" t="s">
        <v>380</v>
      </c>
      <c r="C266" s="45" t="s">
        <v>175</v>
      </c>
      <c r="D266" s="19"/>
      <c r="E266" s="47"/>
      <c r="F266" s="47"/>
      <c r="G266" s="150">
        <f>G314/'[1]Bevs(2000-2015)'!N242</f>
        <v>7.5626210179692413E-2</v>
      </c>
      <c r="H266" s="150">
        <f>H314/'[1]Bevs(2000-2015)'!O242</f>
        <v>0.23481622384487943</v>
      </c>
      <c r="I266" s="150">
        <f>I314/'[1]Bevs(2000-2015)'!P242</f>
        <v>0.31519884096406253</v>
      </c>
      <c r="J266" s="150">
        <f>J314/'[1]Bevs(2000-2015)'!Q242</f>
        <v>0.73001138882425698</v>
      </c>
      <c r="K266" s="150">
        <f>K314/'[1]Bevs(2000-2015)'!R242</f>
        <v>0.98228305847804187</v>
      </c>
      <c r="L266" s="427">
        <f t="shared" si="7"/>
        <v>0.77792407020425913</v>
      </c>
      <c r="M266" s="427">
        <f t="shared" ref="M266:M285" si="10">M314/P266</f>
        <v>0.85228652367462565</v>
      </c>
      <c r="N266" s="427">
        <f t="shared" si="9"/>
        <v>1.3611279904575428</v>
      </c>
      <c r="O266" s="191">
        <v>82787</v>
      </c>
      <c r="P266" s="191">
        <v>84014</v>
      </c>
      <c r="Q266" s="191">
        <v>88866</v>
      </c>
    </row>
    <row r="267" spans="2:17" s="475" customFormat="1" ht="15" thickBot="1" x14ac:dyDescent="0.35">
      <c r="B267" s="9" t="s">
        <v>380</v>
      </c>
      <c r="C267" s="59" t="s">
        <v>176</v>
      </c>
      <c r="D267" s="10"/>
      <c r="E267" s="40"/>
      <c r="F267" s="40"/>
      <c r="G267" s="149">
        <f>G315/'[1]Bevs(2000-2015)'!N245</f>
        <v>1.0344348792002222E-2</v>
      </c>
      <c r="H267" s="149">
        <f>H315/'[1]Bevs(2000-2015)'!O245</f>
        <v>7.5434733611886476E-2</v>
      </c>
      <c r="I267" s="149">
        <f>I315/'[1]Bevs(2000-2015)'!P245</f>
        <v>0.15888125443500234</v>
      </c>
      <c r="J267" s="149">
        <f>J315/'[1]Bevs(2000-2015)'!Q245</f>
        <v>0.57003573783005446</v>
      </c>
      <c r="K267" s="149">
        <f>K315/'[1]Bevs(2000-2015)'!R245</f>
        <v>0.5034361597685113</v>
      </c>
      <c r="L267" s="427">
        <f t="shared" si="7"/>
        <v>1.7487769334859997</v>
      </c>
      <c r="M267" s="427">
        <f t="shared" si="10"/>
        <v>0.40534260515603798</v>
      </c>
      <c r="N267" s="427">
        <f t="shared" si="9"/>
        <v>0.97981732702262048</v>
      </c>
      <c r="O267" s="191">
        <v>57642</v>
      </c>
      <c r="P267" s="191">
        <v>58960</v>
      </c>
      <c r="Q267" s="191">
        <v>63173</v>
      </c>
    </row>
    <row r="268" spans="2:17" s="475" customFormat="1" ht="15" thickBot="1" x14ac:dyDescent="0.35">
      <c r="B268" s="44" t="s">
        <v>380</v>
      </c>
      <c r="C268" s="45" t="s">
        <v>237</v>
      </c>
      <c r="D268" s="19"/>
      <c r="E268" s="47"/>
      <c r="F268" s="47"/>
      <c r="G268" s="150">
        <f>G316/'[1]Bevs(2000-2015)'!N251</f>
        <v>4.5248868778280547E-3</v>
      </c>
      <c r="H268" s="150">
        <f>H316/'[1]Bevs(2000-2015)'!O251</f>
        <v>4.2157061147975759E-2</v>
      </c>
      <c r="I268" s="150">
        <f>I316/'[1]Bevs(2000-2015)'!P251</f>
        <v>0.30344798201979101</v>
      </c>
      <c r="J268" s="150">
        <f>J316/'[1]Bevs(2000-2015)'!Q251</f>
        <v>0.37729979934814689</v>
      </c>
      <c r="K268" s="150">
        <f>K316/'[1]Bevs(2000-2015)'!R251</f>
        <v>0.41735276843397939</v>
      </c>
      <c r="L268" s="427">
        <f t="shared" si="7"/>
        <v>8.5660596328108657E-2</v>
      </c>
      <c r="M268" s="427">
        <f t="shared" si="10"/>
        <v>9.6362344724105195E-2</v>
      </c>
      <c r="N268" s="427">
        <f t="shared" si="9"/>
        <v>0.22956052830716597</v>
      </c>
      <c r="O268" s="191">
        <v>296414</v>
      </c>
      <c r="P268" s="191">
        <v>301238</v>
      </c>
      <c r="Q268" s="191">
        <v>314514</v>
      </c>
    </row>
    <row r="269" spans="2:17" s="475" customFormat="1" ht="15" thickBot="1" x14ac:dyDescent="0.35">
      <c r="B269" s="9" t="s">
        <v>380</v>
      </c>
      <c r="C269" s="59" t="s">
        <v>178</v>
      </c>
      <c r="D269" s="10"/>
      <c r="E269" s="40"/>
      <c r="F269" s="40"/>
      <c r="G269" s="149">
        <f>G317/'[1]Bevs(2000-2015)'!N248</f>
        <v>3.0529603821854108E-2</v>
      </c>
      <c r="H269" s="149">
        <f>H317/'[1]Bevs(2000-2015)'!O248</f>
        <v>9.0273154752470011E-2</v>
      </c>
      <c r="I269" s="149">
        <f>I317/'[1]Bevs(2000-2015)'!P248</f>
        <v>0.2072783198907269</v>
      </c>
      <c r="J269" s="149">
        <f>J317/'[1]Bevs(2000-2015)'!Q248</f>
        <v>0.72764652589030598</v>
      </c>
      <c r="K269" s="149">
        <f>K317/'[1]Bevs(2000-2015)'!R248</f>
        <v>0.69568244642894261</v>
      </c>
      <c r="L269" s="427">
        <f t="shared" si="7"/>
        <v>4.0330313222388989</v>
      </c>
      <c r="M269" s="427">
        <f t="shared" si="10"/>
        <v>2.8553264037837542</v>
      </c>
      <c r="N269" s="427">
        <f t="shared" si="9"/>
        <v>3.6359131072889754</v>
      </c>
      <c r="O269" s="191">
        <v>91277</v>
      </c>
      <c r="P269" s="191">
        <v>90915</v>
      </c>
      <c r="Q269" s="191">
        <v>99479</v>
      </c>
    </row>
    <row r="270" spans="2:17" s="475" customFormat="1" ht="15" thickBot="1" x14ac:dyDescent="0.35">
      <c r="B270" s="44" t="s">
        <v>380</v>
      </c>
      <c r="C270" s="45" t="s">
        <v>238</v>
      </c>
      <c r="D270" s="19"/>
      <c r="E270" s="47"/>
      <c r="F270" s="47"/>
      <c r="G270" s="150">
        <f>G318/'[1]Bevs(2000-2015)'!N254</f>
        <v>0</v>
      </c>
      <c r="H270" s="150">
        <f>H318/'[1]Bevs(2000-2015)'!O254</f>
        <v>7.8468974938265115E-2</v>
      </c>
      <c r="I270" s="150">
        <f>I318/'[1]Bevs(2000-2015)'!P254</f>
        <v>0.10680167634120312</v>
      </c>
      <c r="J270" s="150">
        <f>J318/'[1]Bevs(2000-2015)'!Q254</f>
        <v>0.47462972057797193</v>
      </c>
      <c r="K270" s="150">
        <f>K318/'[1]Bevs(2000-2015)'!R254</f>
        <v>0.40414613597487808</v>
      </c>
      <c r="L270" s="427">
        <f t="shared" si="7"/>
        <v>0.38067372672898164</v>
      </c>
      <c r="M270" s="427">
        <f t="shared" si="10"/>
        <v>0.39790460435621727</v>
      </c>
      <c r="N270" s="427">
        <f t="shared" si="9"/>
        <v>0.91297362837223406</v>
      </c>
      <c r="O270" s="191">
        <v>38621</v>
      </c>
      <c r="P270" s="191">
        <v>36270</v>
      </c>
      <c r="Q270" s="191">
        <v>32990</v>
      </c>
    </row>
    <row r="271" spans="2:17" s="475" customFormat="1" ht="15" thickBot="1" x14ac:dyDescent="0.35">
      <c r="B271" s="9" t="s">
        <v>380</v>
      </c>
      <c r="C271" s="59" t="s">
        <v>239</v>
      </c>
      <c r="D271" s="10"/>
      <c r="E271" s="40"/>
      <c r="F271" s="40"/>
      <c r="G271" s="149">
        <f>G319/'[1]Bevs(2000-2015)'!N257</f>
        <v>0</v>
      </c>
      <c r="H271" s="149">
        <f>H319/'[1]Bevs(2000-2015)'!O257</f>
        <v>9.2398552105162887E-2</v>
      </c>
      <c r="I271" s="149">
        <f>I319/'[1]Bevs(2000-2015)'!P257</f>
        <v>0.16282647011696844</v>
      </c>
      <c r="J271" s="149">
        <f>J319/'[1]Bevs(2000-2015)'!Q257</f>
        <v>0.5475902234728266</v>
      </c>
      <c r="K271" s="149">
        <f>K319/'[1]Bevs(2000-2015)'!R257</f>
        <v>0.35315273699145411</v>
      </c>
      <c r="L271" s="427">
        <f t="shared" si="7"/>
        <v>1.0486217588333504</v>
      </c>
      <c r="M271" s="427">
        <f t="shared" si="10"/>
        <v>0.31718238321192277</v>
      </c>
      <c r="N271" s="427">
        <f t="shared" si="9"/>
        <v>1.0281376983822741</v>
      </c>
      <c r="O271" s="191">
        <v>29349</v>
      </c>
      <c r="P271" s="191">
        <v>29926</v>
      </c>
      <c r="Q271" s="191">
        <v>39129</v>
      </c>
    </row>
    <row r="272" spans="2:17" s="475" customFormat="1" ht="15" thickBot="1" x14ac:dyDescent="0.35">
      <c r="B272" s="44" t="s">
        <v>380</v>
      </c>
      <c r="C272" s="45" t="s">
        <v>240</v>
      </c>
      <c r="D272" s="19"/>
      <c r="E272" s="47"/>
      <c r="F272" s="47"/>
      <c r="G272" s="150">
        <f>G320/'[1]Bevs(2000-2015)'!N260</f>
        <v>1.5563083610318964E-2</v>
      </c>
      <c r="H272" s="150">
        <f>H320/'[1]Bevs(2000-2015)'!O260</f>
        <v>8.3557904912565623E-2</v>
      </c>
      <c r="I272" s="150">
        <f>I320/'[1]Bevs(2000-2015)'!P260</f>
        <v>0.32775352697095433</v>
      </c>
      <c r="J272" s="150">
        <f>J320/'[1]Bevs(2000-2015)'!Q260</f>
        <v>0.88488637536006653</v>
      </c>
      <c r="K272" s="150">
        <f>K320/'[1]Bevs(2000-2015)'!R260</f>
        <v>1.2764664489194757</v>
      </c>
      <c r="L272" s="427">
        <f t="shared" si="7"/>
        <v>1.3375434439901204</v>
      </c>
      <c r="M272" s="427">
        <f t="shared" si="10"/>
        <v>1.017583850691294</v>
      </c>
      <c r="N272" s="427">
        <f t="shared" si="9"/>
        <v>1.8079038873106712</v>
      </c>
      <c r="O272" s="191">
        <v>2513869</v>
      </c>
      <c r="P272" s="191">
        <v>2558029</v>
      </c>
      <c r="Q272" s="191">
        <v>2614764</v>
      </c>
    </row>
    <row r="273" spans="2:17" s="475" customFormat="1" ht="15" thickBot="1" x14ac:dyDescent="0.35">
      <c r="B273" s="9" t="s">
        <v>380</v>
      </c>
      <c r="C273" s="59" t="s">
        <v>241</v>
      </c>
      <c r="D273" s="10"/>
      <c r="E273" s="40"/>
      <c r="F273" s="40"/>
      <c r="G273" s="149">
        <f>G321/'[1]Bevs(2000-2015)'!N263</f>
        <v>0</v>
      </c>
      <c r="H273" s="149">
        <f>H321/'[1]Bevs(2000-2015)'!O263</f>
        <v>0.25409696142027993</v>
      </c>
      <c r="I273" s="149">
        <f>I321/'[1]Bevs(2000-2015)'!P263</f>
        <v>0.26327586206896553</v>
      </c>
      <c r="J273" s="149">
        <f>J321/'[1]Bevs(2000-2015)'!Q263</f>
        <v>1.0596203623813631</v>
      </c>
      <c r="K273" s="149">
        <f>K321/'[1]Bevs(2000-2015)'!R263</f>
        <v>0.64922329254534406</v>
      </c>
      <c r="L273" s="427">
        <f t="shared" si="7"/>
        <v>0.8233072802318433</v>
      </c>
      <c r="M273" s="427">
        <f t="shared" si="10"/>
        <v>0.76416195349672322</v>
      </c>
      <c r="N273" s="427">
        <f t="shared" si="9"/>
        <v>0.89238252410318775</v>
      </c>
      <c r="O273" s="191">
        <v>11387</v>
      </c>
      <c r="P273" s="191">
        <v>11139</v>
      </c>
      <c r="Q273" s="191">
        <v>11513</v>
      </c>
    </row>
    <row r="274" spans="2:17" s="475" customFormat="1" ht="15" thickBot="1" x14ac:dyDescent="0.35">
      <c r="B274" s="44" t="s">
        <v>380</v>
      </c>
      <c r="C274" s="45" t="s">
        <v>183</v>
      </c>
      <c r="D274" s="19"/>
      <c r="E274" s="47"/>
      <c r="F274" s="47"/>
      <c r="G274" s="150">
        <f>G322/'[1]Bevs(2000-2015)'!N266</f>
        <v>9.7303602430555552E-2</v>
      </c>
      <c r="H274" s="150">
        <f>H322/'[1]Bevs(2000-2015)'!O266</f>
        <v>0.20658062781474759</v>
      </c>
      <c r="I274" s="150">
        <f>I322/'[1]Bevs(2000-2015)'!P266</f>
        <v>0.43284699340333244</v>
      </c>
      <c r="J274" s="150">
        <f>J322/'[1]Bevs(2000-2015)'!Q266</f>
        <v>1.0510656074691989</v>
      </c>
      <c r="K274" s="150">
        <f>K322/'[1]Bevs(2000-2015)'!R266</f>
        <v>0.68240469977314155</v>
      </c>
      <c r="L274" s="427">
        <f t="shared" si="7"/>
        <v>0.7773723572186424</v>
      </c>
      <c r="M274" s="427">
        <f t="shared" si="10"/>
        <v>0.88591932689928232</v>
      </c>
      <c r="N274" s="427">
        <f t="shared" si="9"/>
        <v>1.2000461453456954</v>
      </c>
      <c r="O274" s="191">
        <v>154572</v>
      </c>
      <c r="P274" s="191">
        <v>157599</v>
      </c>
      <c r="Q274" s="191">
        <v>164697</v>
      </c>
    </row>
    <row r="275" spans="2:17" s="475" customFormat="1" ht="15" thickBot="1" x14ac:dyDescent="0.35">
      <c r="B275" s="9" t="s">
        <v>380</v>
      </c>
      <c r="C275" s="59" t="s">
        <v>184</v>
      </c>
      <c r="D275" s="10"/>
      <c r="E275" s="40"/>
      <c r="F275" s="40"/>
      <c r="G275" s="149">
        <f>G323/'[1]Bevs(2000-2015)'!N269</f>
        <v>3.0666634215201889E-2</v>
      </c>
      <c r="H275" s="149">
        <f>H323/'[1]Bevs(2000-2015)'!O269</f>
        <v>0.1464965833646879</v>
      </c>
      <c r="I275" s="149">
        <f>I323/'[1]Bevs(2000-2015)'!P269</f>
        <v>0.30060931856050011</v>
      </c>
      <c r="J275" s="149">
        <f>J323/'[1]Bevs(2000-2015)'!Q269</f>
        <v>0.94827565188770102</v>
      </c>
      <c r="K275" s="149">
        <f>K323/'[1]Bevs(2000-2015)'!R269</f>
        <v>0.91968157713540222</v>
      </c>
      <c r="L275" s="427">
        <f t="shared" si="7"/>
        <v>2.3557638880679064</v>
      </c>
      <c r="M275" s="427">
        <f t="shared" si="10"/>
        <v>0.81003710487999625</v>
      </c>
      <c r="N275" s="427">
        <f t="shared" si="9"/>
        <v>1.379455730164814</v>
      </c>
      <c r="O275" s="191">
        <v>84587</v>
      </c>
      <c r="P275" s="191">
        <v>85164</v>
      </c>
      <c r="Q275" s="191">
        <v>88706</v>
      </c>
    </row>
    <row r="276" spans="2:17" s="475" customFormat="1" ht="15" thickBot="1" x14ac:dyDescent="0.35">
      <c r="B276" s="44" t="s">
        <v>380</v>
      </c>
      <c r="C276" s="45" t="s">
        <v>185</v>
      </c>
      <c r="D276" s="19"/>
      <c r="E276" s="47"/>
      <c r="F276" s="47"/>
      <c r="G276" s="150">
        <f>G324/'[1]Bevs(2000-2015)'!N272</f>
        <v>0</v>
      </c>
      <c r="H276" s="150">
        <f>H324/'[1]Bevs(2000-2015)'!O272</f>
        <v>0</v>
      </c>
      <c r="I276" s="150">
        <f>I324/'[1]Bevs(2000-2015)'!P272</f>
        <v>9.517558254020347E-3</v>
      </c>
      <c r="J276" s="150">
        <f>J324/'[1]Bevs(2000-2015)'!Q272</f>
        <v>0.99207004791012721</v>
      </c>
      <c r="K276" s="150">
        <f>K324/'[1]Bevs(2000-2015)'!R272</f>
        <v>0.39157824933687002</v>
      </c>
      <c r="L276" s="427">
        <f t="shared" si="7"/>
        <v>9.1824743998657046E-2</v>
      </c>
      <c r="M276" s="427">
        <f t="shared" si="10"/>
        <v>0.14803070761014686</v>
      </c>
      <c r="N276" s="427">
        <f t="shared" si="9"/>
        <v>0.40658155008092067</v>
      </c>
      <c r="O276" s="191">
        <v>5957</v>
      </c>
      <c r="P276" s="191">
        <v>5992</v>
      </c>
      <c r="Q276" s="191">
        <v>5561</v>
      </c>
    </row>
    <row r="277" spans="2:17" s="475" customFormat="1" ht="15" thickBot="1" x14ac:dyDescent="0.35">
      <c r="B277" s="9" t="s">
        <v>380</v>
      </c>
      <c r="C277" s="59" t="s">
        <v>242</v>
      </c>
      <c r="D277" s="10"/>
      <c r="E277" s="40"/>
      <c r="F277" s="40"/>
      <c r="G277" s="149">
        <f>G325/'[1]Bevs(2000-2015)'!N275</f>
        <v>3.1440361564157989E-3</v>
      </c>
      <c r="H277" s="149">
        <f>H325/'[1]Bevs(2000-2015)'!O275</f>
        <v>4.8591971974179006E-2</v>
      </c>
      <c r="I277" s="149">
        <f>I325/'[1]Bevs(2000-2015)'!P275</f>
        <v>0.14334713477227626</v>
      </c>
      <c r="J277" s="149">
        <f>J325/'[1]Bevs(2000-2015)'!Q275</f>
        <v>0.54671480678233442</v>
      </c>
      <c r="K277" s="149">
        <f>K325/'[1]Bevs(2000-2015)'!R275</f>
        <v>0.53363436660971442</v>
      </c>
      <c r="L277" s="427">
        <f t="shared" si="7"/>
        <v>0.75149375007636754</v>
      </c>
      <c r="M277" s="427">
        <f t="shared" si="10"/>
        <v>0.38303440748182876</v>
      </c>
      <c r="N277" s="427">
        <f t="shared" si="9"/>
        <v>1.0211233852193362</v>
      </c>
      <c r="O277" s="191">
        <v>81841</v>
      </c>
      <c r="P277" s="191">
        <v>80622</v>
      </c>
      <c r="Q277" s="191">
        <v>87628</v>
      </c>
    </row>
    <row r="278" spans="2:17" s="475" customFormat="1" ht="15" thickBot="1" x14ac:dyDescent="0.35">
      <c r="B278" s="44" t="s">
        <v>380</v>
      </c>
      <c r="C278" s="45" t="s">
        <v>187</v>
      </c>
      <c r="D278" s="19"/>
      <c r="E278" s="47"/>
      <c r="F278" s="47"/>
      <c r="G278" s="150">
        <f>G326/'[1]Bevs(2000-2015)'!N278</f>
        <v>1.4850749962873125E-2</v>
      </c>
      <c r="H278" s="150">
        <f>H326/'[1]Bevs(2000-2015)'!O278</f>
        <v>3.5827613003496954E-2</v>
      </c>
      <c r="I278" s="150">
        <f>I326/'[1]Bevs(2000-2015)'!P278</f>
        <v>8.6308014202383973E-2</v>
      </c>
      <c r="J278" s="150">
        <f>J326/'[1]Bevs(2000-2015)'!Q278</f>
        <v>0.37906327543424317</v>
      </c>
      <c r="K278" s="150">
        <f>K326/'[1]Bevs(2000-2015)'!R278</f>
        <v>0.43435714178012996</v>
      </c>
      <c r="L278" s="427">
        <f t="shared" si="7"/>
        <v>0.12068587878218968</v>
      </c>
      <c r="M278" s="427">
        <f t="shared" si="10"/>
        <v>0.18007939372067847</v>
      </c>
      <c r="N278" s="427">
        <f t="shared" si="9"/>
        <v>0.42969974585685805</v>
      </c>
      <c r="O278" s="191">
        <v>63918</v>
      </c>
      <c r="P278" s="191">
        <v>66504</v>
      </c>
      <c r="Q278" s="191">
        <v>65711</v>
      </c>
    </row>
    <row r="279" spans="2:17" s="475" customFormat="1" ht="15" thickBot="1" x14ac:dyDescent="0.35">
      <c r="B279" s="9" t="s">
        <v>380</v>
      </c>
      <c r="C279" s="59" t="s">
        <v>188</v>
      </c>
      <c r="D279" s="10"/>
      <c r="E279" s="40"/>
      <c r="F279" s="40"/>
      <c r="G279" s="149">
        <f>G327/'[1]Bevs(2000-2015)'!N281</f>
        <v>0</v>
      </c>
      <c r="H279" s="149">
        <f>H327/'[1]Bevs(2000-2015)'!O281</f>
        <v>7.4604595643091617E-2</v>
      </c>
      <c r="I279" s="149">
        <f>I327/'[1]Bevs(2000-2015)'!P281</f>
        <v>0.16787954830614807</v>
      </c>
      <c r="J279" s="149">
        <f>J327/'[1]Bevs(2000-2015)'!Q281</f>
        <v>1.0136614766449021</v>
      </c>
      <c r="K279" s="149">
        <f>K327/'[1]Bevs(2000-2015)'!R281</f>
        <v>0.70483409467396219</v>
      </c>
      <c r="L279" s="427">
        <f t="shared" si="7"/>
        <v>1.8787006578947369</v>
      </c>
      <c r="M279" s="427">
        <f t="shared" si="10"/>
        <v>0.78099173553719003</v>
      </c>
      <c r="N279" s="427">
        <f t="shared" si="9"/>
        <v>1.2666635129381711</v>
      </c>
      <c r="O279" s="191">
        <v>19456</v>
      </c>
      <c r="P279" s="191">
        <v>20328</v>
      </c>
      <c r="Q279" s="191">
        <v>21139</v>
      </c>
    </row>
    <row r="280" spans="2:17" s="475" customFormat="1" ht="15" thickBot="1" x14ac:dyDescent="0.35">
      <c r="B280" s="44" t="s">
        <v>380</v>
      </c>
      <c r="C280" s="45" t="s">
        <v>243</v>
      </c>
      <c r="D280" s="19"/>
      <c r="E280" s="47"/>
      <c r="F280" s="47"/>
      <c r="G280" s="150">
        <f>G328/'[1]Bevs(2000-2015)'!N284</f>
        <v>8.7889092335861896E-3</v>
      </c>
      <c r="H280" s="150">
        <f>H328/'[1]Bevs(2000-2015)'!O284</f>
        <v>7.8233603344656386E-2</v>
      </c>
      <c r="I280" s="150">
        <f>I328/'[1]Bevs(2000-2015)'!P284</f>
        <v>9.930129155197967E-2</v>
      </c>
      <c r="J280" s="150">
        <f>J328/'[1]Bevs(2000-2015)'!Q284</f>
        <v>0.22626240828657748</v>
      </c>
      <c r="K280" s="150">
        <f>K328/'[1]Bevs(2000-2015)'!R284</f>
        <v>0.69072391962565372</v>
      </c>
      <c r="L280" s="427">
        <f t="shared" si="7"/>
        <v>0.1091655734899903</v>
      </c>
      <c r="M280" s="427">
        <f t="shared" si="10"/>
        <v>0.17792857553625854</v>
      </c>
      <c r="N280" s="427">
        <f t="shared" si="9"/>
        <v>0.61594356635196779</v>
      </c>
      <c r="O280" s="191">
        <v>17533</v>
      </c>
      <c r="P280" s="191">
        <v>17389</v>
      </c>
      <c r="Q280" s="191">
        <v>18854</v>
      </c>
    </row>
    <row r="281" spans="2:17" s="475" customFormat="1" ht="15" thickBot="1" x14ac:dyDescent="0.35">
      <c r="B281" s="9" t="s">
        <v>380</v>
      </c>
      <c r="C281" s="59" t="s">
        <v>244</v>
      </c>
      <c r="D281" s="10"/>
      <c r="E281" s="40"/>
      <c r="F281" s="40"/>
      <c r="G281" s="149">
        <f>G329/'[1]Bevs(2000-2015)'!N287</f>
        <v>1.7634319892750334E-2</v>
      </c>
      <c r="H281" s="149">
        <f>H329/'[1]Bevs(2000-2015)'!O287</f>
        <v>9.7841216814719204E-2</v>
      </c>
      <c r="I281" s="149">
        <f>I329/'[1]Bevs(2000-2015)'!P287</f>
        <v>0.11172386626618741</v>
      </c>
      <c r="J281" s="149">
        <f>J329/'[1]Bevs(2000-2015)'!Q287</f>
        <v>1.4160324956566424</v>
      </c>
      <c r="K281" s="149">
        <f>K329/'[1]Bevs(2000-2015)'!R287</f>
        <v>0.67589647194910352</v>
      </c>
      <c r="L281" s="427">
        <f t="shared" si="7"/>
        <v>1.5694189905394027</v>
      </c>
      <c r="M281" s="427">
        <f t="shared" si="10"/>
        <v>1.0351303845320363</v>
      </c>
      <c r="N281" s="427">
        <f t="shared" si="9"/>
        <v>1.254654210632435</v>
      </c>
      <c r="O281" s="191">
        <v>40378</v>
      </c>
      <c r="P281" s="191">
        <v>41531</v>
      </c>
      <c r="Q281" s="191">
        <v>44637</v>
      </c>
    </row>
    <row r="282" spans="2:17" s="475" customFormat="1" ht="15" thickBot="1" x14ac:dyDescent="0.35">
      <c r="B282" s="44" t="s">
        <v>380</v>
      </c>
      <c r="C282" s="45" t="s">
        <v>346</v>
      </c>
      <c r="D282" s="19"/>
      <c r="E282" s="47"/>
      <c r="F282" s="47"/>
      <c r="G282" s="150"/>
      <c r="H282" s="150"/>
      <c r="I282" s="150"/>
      <c r="J282" s="150">
        <f>J330/'[1]Bevs(2000-2015)'!Q293</f>
        <v>0.56876794069118275</v>
      </c>
      <c r="K282" s="150">
        <f>K330/'[1]Bevs(2000-2015)'!R293</f>
        <v>0.27029797855980742</v>
      </c>
      <c r="L282" s="427">
        <f t="shared" si="7"/>
        <v>0.18751100158422812</v>
      </c>
      <c r="M282" s="427">
        <f t="shared" si="10"/>
        <v>0.22873849485652409</v>
      </c>
      <c r="N282" s="427">
        <f t="shared" si="9"/>
        <v>0.95822244751404551</v>
      </c>
      <c r="O282" s="191">
        <v>45448</v>
      </c>
      <c r="P282" s="191">
        <v>46175</v>
      </c>
      <c r="Q282" s="191">
        <v>47346</v>
      </c>
    </row>
    <row r="283" spans="2:17" s="475" customFormat="1" ht="15" thickBot="1" x14ac:dyDescent="0.35">
      <c r="B283" s="9" t="s">
        <v>380</v>
      </c>
      <c r="C283" s="27" t="s">
        <v>191</v>
      </c>
      <c r="D283" s="10"/>
      <c r="E283" s="40"/>
      <c r="F283" s="40"/>
      <c r="G283" s="149">
        <f>G331/'[1]Bevs(2000-2015)'!N296</f>
        <v>3.4277719482336481E-2</v>
      </c>
      <c r="H283" s="149">
        <f>H331/'[1]Bevs(2000-2015)'!O296</f>
        <v>8.4203610208174837E-2</v>
      </c>
      <c r="I283" s="149">
        <f>I331/'[1]Bevs(2000-2015)'!P296</f>
        <v>0.29984889072051651</v>
      </c>
      <c r="J283" s="149">
        <f>J331/'[1]Bevs(2000-2015)'!Q296</f>
        <v>0.78510550553302627</v>
      </c>
      <c r="K283" s="149">
        <f>K331/'[1]Bevs(2000-2015)'!R296</f>
        <v>0.39801919956733367</v>
      </c>
      <c r="L283" s="427">
        <f t="shared" si="7"/>
        <v>1.2382698701031634</v>
      </c>
      <c r="M283" s="427">
        <f t="shared" si="10"/>
        <v>0.92760660670929795</v>
      </c>
      <c r="N283" s="427">
        <f t="shared" si="9"/>
        <v>1.3441985456844767</v>
      </c>
      <c r="O283" s="191">
        <v>29177</v>
      </c>
      <c r="P283" s="191">
        <v>29243</v>
      </c>
      <c r="Q283" s="191">
        <v>31630</v>
      </c>
    </row>
    <row r="284" spans="2:17" s="475" customFormat="1" ht="15" thickBot="1" x14ac:dyDescent="0.35">
      <c r="B284" s="44" t="s">
        <v>380</v>
      </c>
      <c r="C284" s="45" t="s">
        <v>245</v>
      </c>
      <c r="D284" s="19"/>
      <c r="E284" s="47"/>
      <c r="F284" s="47"/>
      <c r="G284" s="150">
        <f>G332/'[1]Bevs(2000-2015)'!N299</f>
        <v>1.3508638620890802E-2</v>
      </c>
      <c r="H284" s="150">
        <f>H332/'[1]Bevs(2000-2015)'!O299</f>
        <v>6.0833740980799807E-2</v>
      </c>
      <c r="I284" s="150">
        <f>I332/'[1]Bevs(2000-2015)'!P299</f>
        <v>0.15880582420436662</v>
      </c>
      <c r="J284" s="150">
        <f>J332/'[1]Bevs(2000-2015)'!Q299</f>
        <v>0.4970849464814393</v>
      </c>
      <c r="K284" s="150">
        <f>K332/'[1]Bevs(2000-2015)'!R299</f>
        <v>0.53800555263750283</v>
      </c>
      <c r="L284" s="427">
        <f t="shared" si="7"/>
        <v>0.64904535591744184</v>
      </c>
      <c r="M284" s="427">
        <f t="shared" si="10"/>
        <v>0.665376016109688</v>
      </c>
      <c r="N284" s="427">
        <f t="shared" si="9"/>
        <v>0.87282861588090044</v>
      </c>
      <c r="O284" s="191">
        <v>133191</v>
      </c>
      <c r="P284" s="192">
        <v>135074</v>
      </c>
      <c r="Q284" s="192">
        <v>140118</v>
      </c>
    </row>
    <row r="285" spans="2:17" s="475" customFormat="1" ht="15" thickBot="1" x14ac:dyDescent="0.35">
      <c r="B285" s="48" t="s">
        <v>380</v>
      </c>
      <c r="C285" s="49" t="s">
        <v>214</v>
      </c>
      <c r="D285" s="50"/>
      <c r="E285" s="51"/>
      <c r="F285" s="51"/>
      <c r="G285" s="151">
        <f>G296/'[1]Bevs(2000-2015)'!N300</f>
        <v>2.0799950917212207E-2</v>
      </c>
      <c r="H285" s="151">
        <f>H296/'[1]Bevs(2000-2015)'!O300</f>
        <v>8.870030465829129E-2</v>
      </c>
      <c r="I285" s="151">
        <f>I296/'[1]Bevs(2000-2015)'!P300</f>
        <v>0.25645876683101054</v>
      </c>
      <c r="J285" s="151">
        <f>J296/'[1]Bevs(2000-2015)'!Q300</f>
        <v>0.78634690815853359</v>
      </c>
      <c r="K285" s="151">
        <f>K296/'[1]Bevs(2000-2015)'!R300</f>
        <v>0.98226155843892216</v>
      </c>
      <c r="L285" s="151">
        <f t="shared" si="7"/>
        <v>1.1366729710128214</v>
      </c>
      <c r="M285" s="620">
        <f t="shared" si="10"/>
        <v>0.8457414093806318</v>
      </c>
      <c r="N285" s="620">
        <f t="shared" si="9"/>
        <v>1.4739049643242847</v>
      </c>
      <c r="O285" s="191">
        <f>SUM(O256:O284)</f>
        <v>4682484</v>
      </c>
      <c r="P285" s="193">
        <f>SUM(P256:P284)</f>
        <v>4750938</v>
      </c>
      <c r="Q285" s="193">
        <f>SUM(Q256:Q284)</f>
        <v>4921415</v>
      </c>
    </row>
    <row r="286" spans="2:17" s="475" customFormat="1" x14ac:dyDescent="0.3">
      <c r="B286" s="693" t="s">
        <v>16</v>
      </c>
      <c r="C286" s="690"/>
      <c r="D286" s="37"/>
      <c r="E286" s="37"/>
      <c r="F286" s="37"/>
      <c r="G286" s="37">
        <v>165</v>
      </c>
      <c r="H286" s="37">
        <v>197</v>
      </c>
      <c r="I286" s="37">
        <v>449</v>
      </c>
      <c r="J286" s="37">
        <v>446</v>
      </c>
      <c r="K286" s="37">
        <v>451</v>
      </c>
      <c r="L286" s="37">
        <v>439</v>
      </c>
      <c r="M286" s="37">
        <v>442</v>
      </c>
      <c r="N286" s="37">
        <v>445</v>
      </c>
      <c r="O286" s="37"/>
    </row>
    <row r="287" spans="2:17" s="475" customFormat="1" x14ac:dyDescent="0.3">
      <c r="B287" s="698" t="s">
        <v>374</v>
      </c>
      <c r="C287" s="690"/>
      <c r="D287" s="37"/>
      <c r="E287" s="37"/>
      <c r="F287" s="37"/>
      <c r="G287" s="152"/>
      <c r="H287" s="37"/>
      <c r="I287" s="37"/>
      <c r="J287" s="152">
        <v>0.97</v>
      </c>
      <c r="K287" s="220" t="s">
        <v>589</v>
      </c>
      <c r="L287" s="220" t="s">
        <v>589</v>
      </c>
      <c r="M287" s="220"/>
      <c r="N287" s="220"/>
      <c r="O287" s="220"/>
    </row>
    <row r="288" spans="2:17" s="475" customFormat="1" x14ac:dyDescent="0.3">
      <c r="B288" s="492" t="s">
        <v>388</v>
      </c>
      <c r="C288" s="490"/>
      <c r="D288" s="37"/>
      <c r="E288" s="37"/>
      <c r="F288" s="37"/>
      <c r="G288" s="152">
        <v>0.20599999999999999</v>
      </c>
      <c r="H288" s="152">
        <v>0.65800000000000003</v>
      </c>
      <c r="I288" s="152">
        <v>0.41</v>
      </c>
      <c r="J288" s="152">
        <v>0.36</v>
      </c>
      <c r="K288" s="152">
        <v>0.39</v>
      </c>
      <c r="L288" s="152">
        <v>0.42</v>
      </c>
      <c r="M288" s="152">
        <v>0.42</v>
      </c>
      <c r="N288" s="152">
        <v>0.94</v>
      </c>
      <c r="O288" s="152"/>
    </row>
    <row r="289" spans="1:16" s="475" customFormat="1" x14ac:dyDescent="0.3">
      <c r="B289" s="693" t="s">
        <v>387</v>
      </c>
      <c r="C289" s="690"/>
      <c r="D289" s="37"/>
      <c r="E289" s="37"/>
      <c r="F289" s="37"/>
      <c r="G289" s="152">
        <v>0.10299999999999999</v>
      </c>
      <c r="H289" s="152">
        <v>0.318</v>
      </c>
      <c r="I289" s="152">
        <v>0.48</v>
      </c>
      <c r="J289" s="152">
        <v>0.74</v>
      </c>
      <c r="K289" s="152">
        <v>1.36</v>
      </c>
      <c r="L289" s="152">
        <v>1.1200000000000001</v>
      </c>
      <c r="M289" s="152">
        <v>0.51</v>
      </c>
      <c r="N289" s="152">
        <v>1.1499999999999999</v>
      </c>
      <c r="O289" s="152"/>
    </row>
    <row r="290" spans="1:16" s="475" customFormat="1" x14ac:dyDescent="0.3">
      <c r="B290" s="698" t="s">
        <v>389</v>
      </c>
      <c r="C290" s="690"/>
      <c r="D290" s="37"/>
      <c r="E290" s="37"/>
      <c r="F290" s="37"/>
      <c r="G290" s="152"/>
      <c r="H290" s="152"/>
      <c r="I290" s="152"/>
      <c r="J290" s="152">
        <v>0.48</v>
      </c>
      <c r="K290" s="220" t="s">
        <v>589</v>
      </c>
      <c r="L290" s="152">
        <v>0.49</v>
      </c>
      <c r="M290" s="152">
        <v>0.49</v>
      </c>
      <c r="N290" s="152">
        <v>0.55000000000000004</v>
      </c>
      <c r="O290" s="152"/>
    </row>
    <row r="291" spans="1:16" s="475" customFormat="1" x14ac:dyDescent="0.3">
      <c r="B291" s="11" t="s">
        <v>9</v>
      </c>
      <c r="C291" s="11"/>
      <c r="D291" s="21"/>
      <c r="E291" s="21"/>
      <c r="F291" s="21"/>
      <c r="G291" s="21"/>
      <c r="H291" s="21"/>
      <c r="I291" s="21"/>
      <c r="J291" s="21"/>
      <c r="K291" s="21"/>
    </row>
    <row r="292" spans="1:16" s="475" customFormat="1" x14ac:dyDescent="0.3">
      <c r="B292" s="693" t="s">
        <v>29</v>
      </c>
      <c r="C292" s="690"/>
      <c r="D292" s="41"/>
      <c r="E292" s="41"/>
      <c r="F292" s="41"/>
      <c r="G292" s="41">
        <v>7875587</v>
      </c>
      <c r="H292" s="41">
        <v>9251748</v>
      </c>
      <c r="I292" s="41">
        <v>2577322</v>
      </c>
      <c r="J292" s="41">
        <v>8409591</v>
      </c>
      <c r="K292" s="41">
        <v>8358941</v>
      </c>
      <c r="L292" s="41">
        <v>6052759</v>
      </c>
      <c r="M292" s="41">
        <v>5667698</v>
      </c>
      <c r="N292" s="41">
        <v>5494612</v>
      </c>
      <c r="O292" s="41"/>
    </row>
    <row r="293" spans="1:16" s="475" customFormat="1" x14ac:dyDescent="0.3">
      <c r="B293" s="693" t="s">
        <v>30</v>
      </c>
      <c r="C293" s="690"/>
      <c r="D293" s="41"/>
      <c r="E293" s="41"/>
      <c r="F293" s="41"/>
      <c r="G293" s="41">
        <f>6200620+1128696</f>
        <v>7329316</v>
      </c>
      <c r="H293" s="41"/>
      <c r="I293" s="41">
        <v>1294794</v>
      </c>
      <c r="J293" s="41">
        <v>3005601</v>
      </c>
      <c r="K293" s="41">
        <v>3570972</v>
      </c>
      <c r="L293" s="41">
        <v>4086291</v>
      </c>
      <c r="M293" s="41">
        <v>4673382</v>
      </c>
      <c r="N293" s="41">
        <v>4722910</v>
      </c>
      <c r="O293" s="41"/>
    </row>
    <row r="294" spans="1:16" s="475" customFormat="1" x14ac:dyDescent="0.3">
      <c r="B294" s="693" t="s">
        <v>7</v>
      </c>
      <c r="C294" s="690"/>
      <c r="D294" s="41"/>
      <c r="E294" s="41"/>
      <c r="F294" s="41"/>
      <c r="G294" s="41">
        <f>G292-G293</f>
        <v>546271</v>
      </c>
      <c r="H294" s="41">
        <v>0</v>
      </c>
      <c r="I294" s="41">
        <f>I292-I293</f>
        <v>1282528</v>
      </c>
      <c r="J294" s="41">
        <f>J292-J293</f>
        <v>5403990</v>
      </c>
      <c r="K294" s="41">
        <f>K292-K293</f>
        <v>4787969</v>
      </c>
      <c r="L294" s="41">
        <f>L292-L293</f>
        <v>1966468</v>
      </c>
      <c r="M294" s="41">
        <v>994316</v>
      </c>
      <c r="N294" s="41">
        <v>771702</v>
      </c>
      <c r="O294" s="41"/>
    </row>
    <row r="295" spans="1:16" s="475" customFormat="1" x14ac:dyDescent="0.3">
      <c r="B295" s="11" t="s">
        <v>8</v>
      </c>
      <c r="C295" s="11"/>
      <c r="D295" s="21"/>
      <c r="E295" s="21"/>
      <c r="F295" s="21"/>
      <c r="G295" s="21"/>
      <c r="H295" s="21"/>
      <c r="I295" s="21"/>
      <c r="J295" s="21"/>
      <c r="K295" s="21"/>
      <c r="L295" s="21"/>
      <c r="M295" s="21"/>
      <c r="N295" s="21"/>
      <c r="P295" s="418"/>
    </row>
    <row r="296" spans="1:16" s="475" customFormat="1" x14ac:dyDescent="0.3">
      <c r="B296" s="702" t="s">
        <v>382</v>
      </c>
      <c r="C296" s="690"/>
      <c r="D296" s="14"/>
      <c r="E296" s="14"/>
      <c r="G296" s="14">
        <v>92891</v>
      </c>
      <c r="H296" s="14">
        <v>399075</v>
      </c>
      <c r="I296" s="148">
        <v>1164966</v>
      </c>
      <c r="J296" s="148">
        <v>3603533</v>
      </c>
      <c r="K296" s="148">
        <v>4548481</v>
      </c>
      <c r="L296" s="148">
        <v>5322452</v>
      </c>
      <c r="M296" s="148">
        <v>6260826</v>
      </c>
      <c r="N296" s="148">
        <v>6990298</v>
      </c>
      <c r="O296" s="148"/>
      <c r="P296" s="418"/>
    </row>
    <row r="297" spans="1:16" s="475" customFormat="1" x14ac:dyDescent="0.3">
      <c r="B297" s="491" t="s">
        <v>383</v>
      </c>
      <c r="C297" s="490"/>
      <c r="D297" s="14"/>
      <c r="E297" s="14"/>
      <c r="G297" s="14"/>
      <c r="H297" s="14"/>
      <c r="I297" s="148">
        <v>67</v>
      </c>
      <c r="J297" s="148">
        <v>140</v>
      </c>
      <c r="K297" s="148">
        <v>262</v>
      </c>
      <c r="L297" s="466">
        <v>395</v>
      </c>
      <c r="M297" s="148">
        <v>550</v>
      </c>
      <c r="N297" s="148">
        <v>627</v>
      </c>
      <c r="O297" s="466"/>
      <c r="P297" s="418"/>
    </row>
    <row r="298" spans="1:16" s="475" customFormat="1" x14ac:dyDescent="0.3">
      <c r="B298" s="491" t="s">
        <v>385</v>
      </c>
      <c r="C298" s="490"/>
      <c r="D298" s="14"/>
      <c r="E298" s="14"/>
      <c r="G298" s="14"/>
      <c r="H298" s="14"/>
      <c r="I298" s="148">
        <v>1969</v>
      </c>
      <c r="J298" s="148">
        <v>15178</v>
      </c>
      <c r="K298" s="148">
        <v>22458</v>
      </c>
      <c r="L298" s="148">
        <v>26544</v>
      </c>
      <c r="M298" s="148">
        <v>36014</v>
      </c>
      <c r="N298" s="148">
        <v>20327</v>
      </c>
      <c r="O298" s="148"/>
      <c r="P298" s="418"/>
    </row>
    <row r="299" spans="1:16" s="475" customFormat="1" x14ac:dyDescent="0.3">
      <c r="B299" s="491" t="s">
        <v>386</v>
      </c>
      <c r="C299" s="490"/>
      <c r="D299" s="14"/>
      <c r="E299" s="14"/>
      <c r="G299" s="14"/>
      <c r="H299" s="14"/>
      <c r="I299" s="148"/>
      <c r="J299" s="148">
        <v>18740</v>
      </c>
      <c r="K299" s="148">
        <v>18509</v>
      </c>
      <c r="L299" s="148">
        <v>14193</v>
      </c>
      <c r="M299" s="148">
        <v>12678</v>
      </c>
      <c r="N299" s="148">
        <v>12544</v>
      </c>
      <c r="O299" s="148"/>
      <c r="P299" s="418"/>
    </row>
    <row r="300" spans="1:16" s="475" customFormat="1" x14ac:dyDescent="0.3">
      <c r="B300" s="491" t="s">
        <v>384</v>
      </c>
      <c r="C300" s="490"/>
      <c r="D300" s="14"/>
      <c r="E300" s="14"/>
      <c r="G300" s="14"/>
      <c r="H300" s="14"/>
      <c r="I300" s="148">
        <v>11403081</v>
      </c>
      <c r="J300" s="148">
        <v>32610020</v>
      </c>
      <c r="K300" s="148">
        <v>34590953</v>
      </c>
      <c r="L300" s="148">
        <v>33474779</v>
      </c>
      <c r="M300" s="148">
        <v>34930035</v>
      </c>
      <c r="N300" s="148">
        <v>33560012</v>
      </c>
      <c r="O300" s="148"/>
      <c r="P300" s="418"/>
    </row>
    <row r="301" spans="1:16" s="475" customFormat="1" x14ac:dyDescent="0.3">
      <c r="C301" s="52"/>
      <c r="D301" s="24"/>
      <c r="E301" s="24"/>
      <c r="P301" s="418"/>
    </row>
    <row r="302" spans="1:16" s="475" customFormat="1" x14ac:dyDescent="0.3">
      <c r="B302" s="699" t="s">
        <v>248</v>
      </c>
      <c r="C302" s="699"/>
      <c r="D302" s="43"/>
      <c r="E302" s="21"/>
      <c r="F302" s="43"/>
      <c r="G302" s="21"/>
      <c r="H302" s="43"/>
      <c r="I302" s="21"/>
      <c r="J302" s="43"/>
      <c r="K302" s="43"/>
      <c r="L302" s="43"/>
      <c r="M302" s="43"/>
      <c r="N302" s="43"/>
      <c r="O302" s="43"/>
      <c r="P302" s="418"/>
    </row>
    <row r="303" spans="1:16" s="475" customFormat="1" x14ac:dyDescent="0.3">
      <c r="B303" s="32"/>
      <c r="C303" s="32"/>
      <c r="D303" s="39">
        <v>2007</v>
      </c>
      <c r="E303" s="39">
        <v>2008</v>
      </c>
      <c r="F303" s="39">
        <v>2009</v>
      </c>
      <c r="G303" s="39">
        <v>2010</v>
      </c>
      <c r="H303" s="39">
        <v>2011</v>
      </c>
      <c r="I303" s="39">
        <v>2012</v>
      </c>
      <c r="J303" s="39">
        <v>2013</v>
      </c>
      <c r="K303" s="39">
        <v>2014</v>
      </c>
      <c r="L303" s="39">
        <v>2015</v>
      </c>
      <c r="M303" s="39">
        <v>2016</v>
      </c>
      <c r="N303" s="39">
        <v>2017</v>
      </c>
      <c r="O303" s="39"/>
      <c r="P303" s="418"/>
    </row>
    <row r="304" spans="1:16" s="475" customFormat="1" x14ac:dyDescent="0.3">
      <c r="A304" s="475">
        <v>1</v>
      </c>
      <c r="B304" s="9" t="s">
        <v>390</v>
      </c>
      <c r="C304" s="59" t="s">
        <v>233</v>
      </c>
      <c r="D304" s="6"/>
      <c r="E304" s="6"/>
      <c r="F304" s="6"/>
      <c r="G304" s="7">
        <f>200+336+48</f>
        <v>584</v>
      </c>
      <c r="H304" s="7">
        <v>2725</v>
      </c>
      <c r="I304" s="7">
        <v>6390</v>
      </c>
      <c r="J304" s="7">
        <v>9792</v>
      </c>
      <c r="K304" s="7">
        <v>21677</v>
      </c>
      <c r="L304" s="7">
        <v>21813</v>
      </c>
      <c r="M304" s="7">
        <v>11919</v>
      </c>
      <c r="N304" s="7">
        <v>23164</v>
      </c>
      <c r="O304" s="7"/>
    </row>
    <row r="305" spans="1:15" s="475" customFormat="1" x14ac:dyDescent="0.3">
      <c r="A305" s="475">
        <v>2</v>
      </c>
      <c r="B305" s="44" t="s">
        <v>390</v>
      </c>
      <c r="C305" s="45" t="s">
        <v>234</v>
      </c>
      <c r="D305" s="6"/>
      <c r="E305" s="6"/>
      <c r="F305" s="6"/>
      <c r="G305" s="7">
        <v>140</v>
      </c>
      <c r="H305" s="7">
        <v>826</v>
      </c>
      <c r="I305" s="7">
        <v>757</v>
      </c>
      <c r="J305" s="7">
        <v>1661</v>
      </c>
      <c r="K305" s="7">
        <v>7383</v>
      </c>
      <c r="L305" s="7">
        <v>13666</v>
      </c>
      <c r="M305" s="7">
        <v>6040</v>
      </c>
      <c r="N305" s="7">
        <v>21290</v>
      </c>
      <c r="O305" s="7"/>
    </row>
    <row r="306" spans="1:15" s="475" customFormat="1" x14ac:dyDescent="0.3">
      <c r="A306" s="475">
        <v>3</v>
      </c>
      <c r="B306" s="9" t="s">
        <v>390</v>
      </c>
      <c r="C306" s="59" t="s">
        <v>168</v>
      </c>
      <c r="D306" s="6"/>
      <c r="E306" s="6"/>
      <c r="F306" s="6"/>
      <c r="G306" s="7">
        <f>2000+4368+256</f>
        <v>6624</v>
      </c>
      <c r="H306" s="7">
        <v>27098</v>
      </c>
      <c r="I306" s="7">
        <v>85650</v>
      </c>
      <c r="J306" s="7">
        <v>279930</v>
      </c>
      <c r="K306" s="7">
        <v>277461</v>
      </c>
      <c r="L306" s="7">
        <v>332151</v>
      </c>
      <c r="M306" s="7">
        <v>234942</v>
      </c>
      <c r="N306" s="7">
        <v>447013</v>
      </c>
      <c r="O306" s="7"/>
    </row>
    <row r="307" spans="1:15" s="475" customFormat="1" x14ac:dyDescent="0.3">
      <c r="A307" s="475">
        <v>4</v>
      </c>
      <c r="B307" s="44" t="s">
        <v>390</v>
      </c>
      <c r="C307" s="45" t="s">
        <v>169</v>
      </c>
      <c r="D307" s="6"/>
      <c r="E307" s="6"/>
      <c r="F307" s="6"/>
      <c r="G307" s="7"/>
      <c r="H307" s="7">
        <v>2757</v>
      </c>
      <c r="I307" s="7">
        <v>7190</v>
      </c>
      <c r="J307" s="7">
        <v>23372</v>
      </c>
      <c r="K307" s="7">
        <v>38522</v>
      </c>
      <c r="L307" s="7">
        <v>58132</v>
      </c>
      <c r="M307" s="7">
        <v>32571</v>
      </c>
      <c r="N307" s="7">
        <v>46888</v>
      </c>
      <c r="O307" s="7"/>
    </row>
    <row r="308" spans="1:15" s="475" customFormat="1" x14ac:dyDescent="0.3">
      <c r="A308" s="475">
        <v>5</v>
      </c>
      <c r="B308" s="9" t="s">
        <v>390</v>
      </c>
      <c r="C308" s="59" t="s">
        <v>170</v>
      </c>
      <c r="D308" s="6"/>
      <c r="E308" s="6"/>
      <c r="F308" s="6"/>
      <c r="G308" s="7">
        <v>0</v>
      </c>
      <c r="H308" s="7">
        <v>0</v>
      </c>
      <c r="I308" s="7">
        <v>0</v>
      </c>
      <c r="J308" s="7">
        <v>608</v>
      </c>
      <c r="K308" s="7">
        <v>355</v>
      </c>
      <c r="L308" s="7">
        <v>0</v>
      </c>
      <c r="M308" s="7">
        <v>0</v>
      </c>
      <c r="N308" s="7">
        <v>0</v>
      </c>
      <c r="O308" s="7"/>
    </row>
    <row r="309" spans="1:15" s="475" customFormat="1" x14ac:dyDescent="0.3">
      <c r="A309" s="475">
        <v>6</v>
      </c>
      <c r="B309" s="44" t="s">
        <v>390</v>
      </c>
      <c r="C309" s="45" t="s">
        <v>171</v>
      </c>
      <c r="G309" s="7">
        <f>400+504+48</f>
        <v>952</v>
      </c>
      <c r="H309" s="7">
        <v>2066</v>
      </c>
      <c r="I309" s="7">
        <v>5755</v>
      </c>
      <c r="J309" s="7">
        <v>10803</v>
      </c>
      <c r="K309" s="7">
        <v>19628</v>
      </c>
      <c r="L309" s="7">
        <v>32171</v>
      </c>
      <c r="M309" s="7">
        <v>17572</v>
      </c>
      <c r="N309" s="7">
        <v>47955</v>
      </c>
      <c r="O309" s="7"/>
    </row>
    <row r="310" spans="1:15" s="475" customFormat="1" x14ac:dyDescent="0.3">
      <c r="A310" s="475">
        <v>7</v>
      </c>
      <c r="B310" s="9" t="s">
        <v>390</v>
      </c>
      <c r="C310" s="59" t="s">
        <v>172</v>
      </c>
      <c r="G310" s="7">
        <f>3800+5404+400</f>
        <v>9604</v>
      </c>
      <c r="H310" s="7">
        <v>23454</v>
      </c>
      <c r="I310" s="7">
        <v>70000</v>
      </c>
      <c r="J310" s="7">
        <v>258006</v>
      </c>
      <c r="K310" s="7">
        <v>175107</v>
      </c>
      <c r="L310" s="7">
        <v>195075</v>
      </c>
      <c r="M310" s="7">
        <v>187318</v>
      </c>
      <c r="N310" s="7">
        <v>329789</v>
      </c>
      <c r="O310" s="7"/>
    </row>
    <row r="311" spans="1:15" s="475" customFormat="1" x14ac:dyDescent="0.3">
      <c r="A311" s="475">
        <v>8</v>
      </c>
      <c r="B311" s="44" t="s">
        <v>390</v>
      </c>
      <c r="C311" s="45" t="s">
        <v>235</v>
      </c>
      <c r="G311" s="7">
        <f>300+476+144</f>
        <v>920</v>
      </c>
      <c r="H311" s="7">
        <v>3437</v>
      </c>
      <c r="I311" s="7">
        <v>4871</v>
      </c>
      <c r="J311" s="7">
        <v>19711</v>
      </c>
      <c r="K311" s="7">
        <v>18518</v>
      </c>
      <c r="L311" s="7">
        <v>50555</v>
      </c>
      <c r="M311" s="7">
        <v>36070</v>
      </c>
      <c r="N311" s="7">
        <v>54992</v>
      </c>
      <c r="O311" s="7"/>
    </row>
    <row r="312" spans="1:15" s="475" customFormat="1" x14ac:dyDescent="0.3">
      <c r="A312" s="475">
        <v>9</v>
      </c>
      <c r="B312" s="9" t="s">
        <v>390</v>
      </c>
      <c r="C312" s="27" t="s">
        <v>345</v>
      </c>
      <c r="G312" s="425"/>
      <c r="H312" s="425"/>
      <c r="I312" s="425"/>
      <c r="J312" s="7">
        <v>23300</v>
      </c>
      <c r="K312" s="7">
        <v>42244</v>
      </c>
      <c r="L312" s="7">
        <v>20784</v>
      </c>
      <c r="M312" s="7">
        <v>30192</v>
      </c>
      <c r="N312" s="7">
        <v>113424</v>
      </c>
      <c r="O312" s="7"/>
    </row>
    <row r="313" spans="1:15" s="475" customFormat="1" x14ac:dyDescent="0.3">
      <c r="B313" s="9" t="s">
        <v>390</v>
      </c>
      <c r="C313" s="27" t="s">
        <v>174</v>
      </c>
      <c r="G313" s="7">
        <f>200+168</f>
        <v>368</v>
      </c>
      <c r="H313" s="7">
        <v>10328</v>
      </c>
      <c r="I313" s="7">
        <v>15459</v>
      </c>
      <c r="J313" s="425"/>
      <c r="K313" s="425"/>
      <c r="L313" s="426"/>
      <c r="M313" s="426"/>
      <c r="N313" s="426"/>
      <c r="O313" s="426"/>
    </row>
    <row r="314" spans="1:15" s="475" customFormat="1" x14ac:dyDescent="0.3">
      <c r="A314" s="475">
        <v>10</v>
      </c>
      <c r="B314" s="44" t="s">
        <v>390</v>
      </c>
      <c r="C314" s="45" t="s">
        <v>175</v>
      </c>
      <c r="G314" s="7">
        <f>1900+3416+816</f>
        <v>6132</v>
      </c>
      <c r="H314" s="7">
        <v>19134</v>
      </c>
      <c r="I314" s="7">
        <v>25672</v>
      </c>
      <c r="J314" s="7">
        <v>59612</v>
      </c>
      <c r="K314" s="7">
        <v>80947</v>
      </c>
      <c r="L314" s="7">
        <v>64402</v>
      </c>
      <c r="M314" s="7">
        <v>71604</v>
      </c>
      <c r="N314" s="7">
        <v>120958</v>
      </c>
      <c r="O314" s="7"/>
    </row>
    <row r="315" spans="1:15" s="475" customFormat="1" x14ac:dyDescent="0.3">
      <c r="A315" s="475">
        <v>11</v>
      </c>
      <c r="B315" s="9" t="s">
        <v>390</v>
      </c>
      <c r="C315" s="59" t="s">
        <v>176</v>
      </c>
      <c r="G315" s="7">
        <f>300+280+16</f>
        <v>596</v>
      </c>
      <c r="H315" s="7">
        <v>4351</v>
      </c>
      <c r="I315" s="7">
        <v>9180</v>
      </c>
      <c r="J315" s="7">
        <v>32858</v>
      </c>
      <c r="K315" s="7">
        <v>29229</v>
      </c>
      <c r="L315" s="7">
        <v>100803</v>
      </c>
      <c r="M315" s="7">
        <v>23899</v>
      </c>
      <c r="N315" s="7">
        <v>61898</v>
      </c>
      <c r="O315" s="7"/>
    </row>
    <row r="316" spans="1:15" s="475" customFormat="1" x14ac:dyDescent="0.3">
      <c r="A316" s="475">
        <v>12</v>
      </c>
      <c r="B316" s="44" t="s">
        <v>390</v>
      </c>
      <c r="C316" s="45" t="s">
        <v>237</v>
      </c>
      <c r="G316" s="7">
        <f>392+32</f>
        <v>424</v>
      </c>
      <c r="H316" s="7">
        <v>3958</v>
      </c>
      <c r="I316" s="7">
        <v>28488</v>
      </c>
      <c r="J316" s="7">
        <v>35539</v>
      </c>
      <c r="K316" s="7">
        <v>39083</v>
      </c>
      <c r="L316" s="7">
        <v>25391</v>
      </c>
      <c r="M316" s="7">
        <v>29028</v>
      </c>
      <c r="N316" s="7">
        <v>72200</v>
      </c>
      <c r="O316" s="7"/>
    </row>
    <row r="317" spans="1:15" s="475" customFormat="1" x14ac:dyDescent="0.3">
      <c r="A317" s="475">
        <v>13</v>
      </c>
      <c r="B317" s="9" t="s">
        <v>390</v>
      </c>
      <c r="C317" s="59" t="s">
        <v>178</v>
      </c>
      <c r="G317" s="7">
        <f>2200+5768+672</f>
        <v>8640</v>
      </c>
      <c r="H317" s="7">
        <v>25629</v>
      </c>
      <c r="I317" s="7">
        <v>59031</v>
      </c>
      <c r="J317" s="7">
        <v>208820</v>
      </c>
      <c r="K317" s="7">
        <v>200831</v>
      </c>
      <c r="L317" s="7">
        <v>368123</v>
      </c>
      <c r="M317" s="7">
        <v>259592</v>
      </c>
      <c r="N317" s="7">
        <v>361697</v>
      </c>
      <c r="O317" s="7"/>
    </row>
    <row r="318" spans="1:15" s="475" customFormat="1" x14ac:dyDescent="0.3">
      <c r="A318" s="475">
        <v>14</v>
      </c>
      <c r="B318" s="44" t="s">
        <v>390</v>
      </c>
      <c r="C318" s="45" t="s">
        <v>238</v>
      </c>
      <c r="G318" s="7"/>
      <c r="H318" s="7">
        <v>2987</v>
      </c>
      <c r="I318" s="7">
        <v>4103</v>
      </c>
      <c r="J318" s="7">
        <v>18362</v>
      </c>
      <c r="K318" s="7">
        <v>15830</v>
      </c>
      <c r="L318" s="7">
        <v>14702</v>
      </c>
      <c r="M318" s="7">
        <v>14432</v>
      </c>
      <c r="N318" s="7">
        <v>30119</v>
      </c>
      <c r="O318" s="7"/>
    </row>
    <row r="319" spans="1:15" s="475" customFormat="1" x14ac:dyDescent="0.3">
      <c r="A319" s="475">
        <v>15</v>
      </c>
      <c r="B319" s="9" t="s">
        <v>390</v>
      </c>
      <c r="C319" s="59" t="s">
        <v>239</v>
      </c>
      <c r="G319" s="7"/>
      <c r="H319" s="7">
        <v>2910</v>
      </c>
      <c r="I319" s="7">
        <v>5081</v>
      </c>
      <c r="J319" s="7">
        <v>16736</v>
      </c>
      <c r="K319" s="7">
        <v>10703</v>
      </c>
      <c r="L319" s="7">
        <v>30776</v>
      </c>
      <c r="M319" s="7">
        <v>9492</v>
      </c>
      <c r="N319" s="7">
        <v>40230</v>
      </c>
      <c r="O319" s="7"/>
    </row>
    <row r="320" spans="1:15" s="475" customFormat="1" x14ac:dyDescent="0.3">
      <c r="A320" s="475">
        <v>16</v>
      </c>
      <c r="B320" s="44" t="s">
        <v>390</v>
      </c>
      <c r="C320" s="45" t="s">
        <v>240</v>
      </c>
      <c r="G320" s="7">
        <f>13800+21000+1792</f>
        <v>36592</v>
      </c>
      <c r="H320" s="7">
        <v>198286</v>
      </c>
      <c r="I320" s="7">
        <v>789886</v>
      </c>
      <c r="J320" s="7">
        <v>2161427</v>
      </c>
      <c r="K320" s="7">
        <v>3158135</v>
      </c>
      <c r="L320" s="7">
        <v>3362409</v>
      </c>
      <c r="M320" s="7">
        <v>2603009</v>
      </c>
      <c r="N320" s="7">
        <v>4727242</v>
      </c>
      <c r="O320" s="7"/>
    </row>
    <row r="321" spans="1:15" s="475" customFormat="1" x14ac:dyDescent="0.3">
      <c r="A321" s="475">
        <v>17</v>
      </c>
      <c r="B321" s="9" t="s">
        <v>390</v>
      </c>
      <c r="C321" s="59" t="s">
        <v>241</v>
      </c>
      <c r="G321" s="7"/>
      <c r="H321" s="7">
        <v>2977</v>
      </c>
      <c r="I321" s="7">
        <v>3054</v>
      </c>
      <c r="J321" s="7">
        <v>12281</v>
      </c>
      <c r="K321" s="7">
        <v>7481</v>
      </c>
      <c r="L321" s="7">
        <v>9375</v>
      </c>
      <c r="M321" s="7">
        <v>8512</v>
      </c>
      <c r="N321" s="7">
        <v>10274</v>
      </c>
      <c r="O321" s="7"/>
    </row>
    <row r="322" spans="1:15" s="475" customFormat="1" x14ac:dyDescent="0.3">
      <c r="A322" s="475">
        <v>18</v>
      </c>
      <c r="B322" s="44" t="s">
        <v>390</v>
      </c>
      <c r="C322" s="45" t="s">
        <v>183</v>
      </c>
      <c r="G322" s="7">
        <f>4100+9016+1232</f>
        <v>14348</v>
      </c>
      <c r="H322" s="7">
        <v>30733</v>
      </c>
      <c r="I322" s="7">
        <v>64763</v>
      </c>
      <c r="J322" s="7">
        <v>158507</v>
      </c>
      <c r="K322" s="7">
        <v>104079</v>
      </c>
      <c r="L322" s="7">
        <v>120160</v>
      </c>
      <c r="M322" s="7">
        <v>139620</v>
      </c>
      <c r="N322" s="7">
        <v>197644</v>
      </c>
      <c r="O322" s="7"/>
    </row>
    <row r="323" spans="1:15" s="475" customFormat="1" x14ac:dyDescent="0.3">
      <c r="A323" s="475">
        <v>19</v>
      </c>
      <c r="B323" s="9" t="s">
        <v>390</v>
      </c>
      <c r="C323" s="59" t="s">
        <v>184</v>
      </c>
      <c r="G323" s="7">
        <f>800+1624+96</f>
        <v>2520</v>
      </c>
      <c r="H323" s="7">
        <v>12070</v>
      </c>
      <c r="I323" s="7">
        <v>24717</v>
      </c>
      <c r="J323" s="7">
        <v>77788</v>
      </c>
      <c r="K323" s="7">
        <v>76134</v>
      </c>
      <c r="L323" s="7">
        <v>199267</v>
      </c>
      <c r="M323" s="7">
        <v>68986</v>
      </c>
      <c r="N323" s="7">
        <v>122366</v>
      </c>
      <c r="O323" s="7"/>
    </row>
    <row r="324" spans="1:15" s="475" customFormat="1" x14ac:dyDescent="0.3">
      <c r="A324" s="475">
        <v>20</v>
      </c>
      <c r="B324" s="44" t="s">
        <v>390</v>
      </c>
      <c r="C324" s="45" t="s">
        <v>185</v>
      </c>
      <c r="G324" s="7">
        <v>0</v>
      </c>
      <c r="H324" s="7">
        <v>0</v>
      </c>
      <c r="I324" s="7">
        <v>58</v>
      </c>
      <c r="J324" s="7">
        <v>6005</v>
      </c>
      <c r="K324" s="7">
        <v>2362</v>
      </c>
      <c r="L324" s="7">
        <v>547</v>
      </c>
      <c r="M324" s="475">
        <v>887</v>
      </c>
      <c r="N324" s="7">
        <v>2261</v>
      </c>
      <c r="O324" s="7"/>
    </row>
    <row r="325" spans="1:15" s="475" customFormat="1" x14ac:dyDescent="0.3">
      <c r="A325" s="475">
        <v>21</v>
      </c>
      <c r="B325" s="9" t="s">
        <v>390</v>
      </c>
      <c r="C325" s="59" t="s">
        <v>242</v>
      </c>
      <c r="G325" s="7">
        <f>100+140+16</f>
        <v>256</v>
      </c>
      <c r="H325" s="7">
        <v>3967</v>
      </c>
      <c r="I325" s="7">
        <v>11702</v>
      </c>
      <c r="J325" s="7">
        <v>44367</v>
      </c>
      <c r="K325" s="7">
        <v>43726</v>
      </c>
      <c r="L325" s="7">
        <v>61503</v>
      </c>
      <c r="M325" s="7">
        <v>30881</v>
      </c>
      <c r="N325" s="7">
        <v>89479</v>
      </c>
      <c r="O325" s="7"/>
    </row>
    <row r="326" spans="1:15" s="475" customFormat="1" x14ac:dyDescent="0.3">
      <c r="A326" s="475">
        <v>22</v>
      </c>
      <c r="B326" s="44" t="s">
        <v>390</v>
      </c>
      <c r="C326" s="45" t="s">
        <v>187</v>
      </c>
      <c r="G326" s="7">
        <f>400+420+80</f>
        <v>900</v>
      </c>
      <c r="H326" s="7">
        <v>2213</v>
      </c>
      <c r="I326" s="7">
        <v>5445</v>
      </c>
      <c r="J326" s="7">
        <v>24442</v>
      </c>
      <c r="K326" s="7">
        <v>28807</v>
      </c>
      <c r="L326" s="7">
        <v>7714</v>
      </c>
      <c r="M326" s="7">
        <v>11976</v>
      </c>
      <c r="N326" s="7">
        <v>28236</v>
      </c>
      <c r="O326" s="7"/>
    </row>
    <row r="327" spans="1:15" s="475" customFormat="1" x14ac:dyDescent="0.3">
      <c r="A327" s="475">
        <v>23</v>
      </c>
      <c r="B327" s="9" t="s">
        <v>390</v>
      </c>
      <c r="C327" s="59" t="s">
        <v>188</v>
      </c>
      <c r="G327" s="7"/>
      <c r="H327" s="7">
        <v>1500</v>
      </c>
      <c r="I327" s="7">
        <v>3345</v>
      </c>
      <c r="J327" s="7">
        <v>20182</v>
      </c>
      <c r="K327" s="7">
        <v>14041</v>
      </c>
      <c r="L327" s="7">
        <v>36552</v>
      </c>
      <c r="M327" s="7">
        <v>15876</v>
      </c>
      <c r="N327" s="7">
        <v>26776</v>
      </c>
      <c r="O327" s="7"/>
    </row>
    <row r="328" spans="1:15" s="475" customFormat="1" x14ac:dyDescent="0.3">
      <c r="A328" s="475">
        <v>24</v>
      </c>
      <c r="B328" s="44" t="s">
        <v>390</v>
      </c>
      <c r="C328" s="45" t="s">
        <v>243</v>
      </c>
      <c r="G328" s="7">
        <v>168</v>
      </c>
      <c r="H328" s="7">
        <v>1497</v>
      </c>
      <c r="I328" s="7">
        <v>1876</v>
      </c>
      <c r="J328" s="7">
        <v>4194</v>
      </c>
      <c r="K328" s="7">
        <v>12547</v>
      </c>
      <c r="L328" s="7">
        <v>1914</v>
      </c>
      <c r="M328" s="7">
        <v>3094</v>
      </c>
      <c r="N328" s="7">
        <v>11613</v>
      </c>
      <c r="O328" s="7"/>
    </row>
    <row r="329" spans="1:15" s="475" customFormat="1" x14ac:dyDescent="0.3">
      <c r="A329" s="475">
        <v>25</v>
      </c>
      <c r="B329" s="9" t="s">
        <v>390</v>
      </c>
      <c r="C329" s="59" t="s">
        <v>244</v>
      </c>
      <c r="G329" s="7">
        <f>400+252+32</f>
        <v>684</v>
      </c>
      <c r="H329" s="7">
        <v>3866</v>
      </c>
      <c r="I329" s="7">
        <v>4538</v>
      </c>
      <c r="J329" s="7">
        <v>57869</v>
      </c>
      <c r="K329" s="7">
        <v>28047</v>
      </c>
      <c r="L329" s="7">
        <v>63370</v>
      </c>
      <c r="M329" s="7">
        <v>42990</v>
      </c>
      <c r="N329" s="7">
        <v>56004</v>
      </c>
      <c r="O329" s="7"/>
    </row>
    <row r="330" spans="1:15" s="475" customFormat="1" x14ac:dyDescent="0.3">
      <c r="A330" s="475">
        <v>26</v>
      </c>
      <c r="B330" s="44" t="s">
        <v>390</v>
      </c>
      <c r="C330" s="45" t="s">
        <v>346</v>
      </c>
      <c r="G330" s="425"/>
      <c r="H330" s="425"/>
      <c r="I330" s="425"/>
      <c r="J330" s="7">
        <v>25164</v>
      </c>
      <c r="K330" s="7">
        <v>12128</v>
      </c>
      <c r="L330" s="7">
        <v>8522</v>
      </c>
      <c r="M330" s="7">
        <v>10562</v>
      </c>
      <c r="N330" s="7">
        <v>45368</v>
      </c>
      <c r="O330" s="7"/>
    </row>
    <row r="331" spans="1:15" s="475" customFormat="1" x14ac:dyDescent="0.3">
      <c r="A331" s="475">
        <v>27</v>
      </c>
      <c r="B331" s="9" t="s">
        <v>390</v>
      </c>
      <c r="C331" s="27" t="s">
        <v>191</v>
      </c>
      <c r="G331" s="7">
        <f>600+364+16</f>
        <v>980</v>
      </c>
      <c r="H331" s="7">
        <v>2435</v>
      </c>
      <c r="I331" s="7">
        <v>8731</v>
      </c>
      <c r="J331" s="7">
        <v>22845</v>
      </c>
      <c r="K331" s="7">
        <v>11775</v>
      </c>
      <c r="L331" s="7">
        <v>36129</v>
      </c>
      <c r="M331" s="7">
        <v>27126</v>
      </c>
      <c r="N331" s="7">
        <v>42517</v>
      </c>
      <c r="O331" s="7"/>
    </row>
    <row r="332" spans="1:15" s="475" customFormat="1" x14ac:dyDescent="0.3">
      <c r="A332" s="475">
        <v>28</v>
      </c>
      <c r="B332" s="44" t="s">
        <v>390</v>
      </c>
      <c r="C332" s="45" t="s">
        <v>245</v>
      </c>
      <c r="G332" s="218">
        <f>1000+616+144</f>
        <v>1760</v>
      </c>
      <c r="H332" s="218">
        <v>7959</v>
      </c>
      <c r="I332" s="218">
        <v>20788</v>
      </c>
      <c r="J332" s="218">
        <v>65481</v>
      </c>
      <c r="K332" s="218">
        <v>71700</v>
      </c>
      <c r="L332" s="218">
        <v>86447</v>
      </c>
      <c r="M332" s="218">
        <v>89875</v>
      </c>
      <c r="N332" s="218">
        <v>122299</v>
      </c>
      <c r="O332" s="36"/>
    </row>
    <row r="333" spans="1:15" s="475" customFormat="1" x14ac:dyDescent="0.3">
      <c r="B333" s="223" t="s">
        <v>390</v>
      </c>
      <c r="C333" s="238" t="s">
        <v>497</v>
      </c>
      <c r="D333" s="157"/>
      <c r="E333" s="157"/>
      <c r="F333" s="157"/>
      <c r="G333" s="158">
        <f>SUM(G331:G332,G313:G329,G304:G311)</f>
        <v>93192</v>
      </c>
      <c r="H333" s="158">
        <f>SUM(H331:H332,H313:H329,H304:H311)</f>
        <v>399163</v>
      </c>
      <c r="I333" s="158">
        <f>SUM(I331:I332,I313:I329,I304:I311)</f>
        <v>1266530</v>
      </c>
      <c r="J333" s="229">
        <f>SUM(J314:J332,J304:J312)</f>
        <v>3679662</v>
      </c>
      <c r="K333" s="229">
        <f>SUM(K314:K332,K304:K312)</f>
        <v>4548480</v>
      </c>
      <c r="L333" s="229">
        <f>SUM(L314:L332,L304:L312)</f>
        <v>5322453</v>
      </c>
      <c r="M333" s="229">
        <v>4018065</v>
      </c>
      <c r="N333" s="229">
        <v>7253698</v>
      </c>
      <c r="O333" s="229"/>
    </row>
    <row r="334" spans="1:15" s="475" customFormat="1" x14ac:dyDescent="0.3">
      <c r="B334" s="223"/>
      <c r="C334" s="597"/>
      <c r="D334" s="157"/>
      <c r="E334" s="157"/>
      <c r="F334" s="157"/>
      <c r="G334" s="158"/>
      <c r="H334" s="158"/>
      <c r="I334" s="158"/>
      <c r="J334" s="229"/>
      <c r="K334" s="229" t="s">
        <v>788</v>
      </c>
      <c r="L334" s="229"/>
      <c r="M334" s="229"/>
      <c r="N334" s="229"/>
      <c r="O334" s="229"/>
    </row>
    <row r="335" spans="1:15" s="6" customFormat="1" ht="23.4" x14ac:dyDescent="0.45">
      <c r="B335" s="30" t="s">
        <v>610</v>
      </c>
      <c r="C335" s="30"/>
      <c r="D335" s="5"/>
      <c r="E335" s="5"/>
      <c r="F335" s="5"/>
      <c r="G335" s="5"/>
      <c r="H335" s="5"/>
      <c r="I335" s="5"/>
      <c r="J335" s="5"/>
      <c r="K335" s="5">
        <v>2014</v>
      </c>
      <c r="L335" s="5">
        <v>2015</v>
      </c>
      <c r="M335" s="5">
        <v>2016</v>
      </c>
      <c r="N335" s="5">
        <v>2017</v>
      </c>
      <c r="O335" s="5"/>
    </row>
    <row r="336" spans="1:15" s="475" customFormat="1" x14ac:dyDescent="0.3">
      <c r="B336" s="48" t="s">
        <v>417</v>
      </c>
      <c r="C336" s="49" t="s">
        <v>214</v>
      </c>
      <c r="D336" s="50"/>
      <c r="E336" s="51"/>
      <c r="F336" s="51"/>
      <c r="G336" s="151">
        <f>G340/'[1]Bevs(2000-2015)'!N300</f>
        <v>3.2487277948687503E-4</v>
      </c>
      <c r="H336" s="151">
        <f>H340/'[1]Bevs(2000-2015)'!O300</f>
        <v>4.1696866889420401E-4</v>
      </c>
      <c r="I336" s="151">
        <f>I340/'[1]Bevs(2000-2015)'!P300</f>
        <v>5.957061605615224E-4</v>
      </c>
      <c r="J336" s="151">
        <f>J340/L337</f>
        <v>6.9471673581799741E-4</v>
      </c>
      <c r="K336" s="151">
        <f>K340/K337</f>
        <v>7.5896583725267757E-4</v>
      </c>
      <c r="L336" s="151">
        <f>L340/L337</f>
        <v>8.4762702873090437E-4</v>
      </c>
      <c r="M336" s="151">
        <f>M340/M337</f>
        <v>8.5035839238483009E-4</v>
      </c>
      <c r="N336" s="151">
        <f>N340/N337</f>
        <v>9.0177316889553105E-4</v>
      </c>
      <c r="O336" s="149"/>
    </row>
    <row r="337" spans="2:19" s="475" customFormat="1" x14ac:dyDescent="0.3">
      <c r="B337" s="48"/>
      <c r="C337" s="49" t="s">
        <v>773</v>
      </c>
      <c r="D337" s="50"/>
      <c r="E337" s="51"/>
      <c r="F337" s="51"/>
      <c r="G337" s="151"/>
      <c r="H337" s="151"/>
      <c r="I337" s="151"/>
      <c r="K337" s="596">
        <v>4631302</v>
      </c>
      <c r="L337" s="596">
        <v>4682484</v>
      </c>
      <c r="M337" s="596">
        <v>4750938</v>
      </c>
      <c r="N337" s="596">
        <v>4921415</v>
      </c>
    </row>
    <row r="338" spans="2:19" s="475" customFormat="1" x14ac:dyDescent="0.3">
      <c r="B338" s="693" t="s">
        <v>16</v>
      </c>
      <c r="C338" s="690"/>
      <c r="D338" s="37"/>
      <c r="E338" s="37"/>
      <c r="F338" s="37"/>
      <c r="G338" s="37">
        <v>96</v>
      </c>
      <c r="H338" s="37">
        <v>109</v>
      </c>
      <c r="I338" s="37">
        <v>199</v>
      </c>
      <c r="J338" s="37">
        <v>319</v>
      </c>
      <c r="K338" s="37">
        <v>343</v>
      </c>
      <c r="L338" s="37">
        <v>362</v>
      </c>
      <c r="M338" s="37">
        <v>371</v>
      </c>
      <c r="N338" s="37">
        <v>377</v>
      </c>
      <c r="O338" s="37"/>
    </row>
    <row r="339" spans="2:19" s="475" customFormat="1" x14ac:dyDescent="0.3">
      <c r="B339" s="11" t="s">
        <v>8</v>
      </c>
      <c r="C339" s="11"/>
      <c r="D339" s="21"/>
      <c r="E339" s="21"/>
      <c r="F339" s="21"/>
      <c r="G339" s="21"/>
      <c r="H339" s="21"/>
      <c r="I339" s="21"/>
      <c r="J339" s="21"/>
      <c r="K339" s="21"/>
      <c r="L339" s="21"/>
      <c r="M339" s="21"/>
      <c r="N339" s="21"/>
      <c r="O339" s="21"/>
    </row>
    <row r="340" spans="2:19" s="475" customFormat="1" x14ac:dyDescent="0.3">
      <c r="B340" s="702" t="s">
        <v>394</v>
      </c>
      <c r="C340" s="690"/>
      <c r="D340" s="14"/>
      <c r="E340" s="14"/>
      <c r="G340" s="14">
        <f>G341+G342+(G343/1.4)</f>
        <v>1450.8571428571429</v>
      </c>
      <c r="H340" s="14">
        <v>1876</v>
      </c>
      <c r="I340" s="148">
        <v>2706</v>
      </c>
      <c r="J340" s="148">
        <v>3253</v>
      </c>
      <c r="K340" s="148">
        <v>3515</v>
      </c>
      <c r="L340" s="148">
        <v>3969</v>
      </c>
      <c r="M340" s="148">
        <v>4040</v>
      </c>
      <c r="N340" s="148">
        <v>4438</v>
      </c>
      <c r="O340" s="148"/>
    </row>
    <row r="341" spans="2:19" s="475" customFormat="1" x14ac:dyDescent="0.3">
      <c r="B341" s="491" t="s">
        <v>391</v>
      </c>
      <c r="C341" s="490"/>
      <c r="D341" s="14"/>
      <c r="E341" s="14"/>
      <c r="G341" s="14">
        <v>498</v>
      </c>
      <c r="H341" s="14">
        <v>1503</v>
      </c>
      <c r="I341" s="148">
        <v>1887</v>
      </c>
      <c r="J341" s="148">
        <v>2517</v>
      </c>
      <c r="K341" s="148">
        <v>5783</v>
      </c>
      <c r="L341" s="148">
        <v>3439</v>
      </c>
      <c r="M341" s="148">
        <v>3280</v>
      </c>
      <c r="N341" s="148">
        <v>2737</v>
      </c>
      <c r="O341" s="148"/>
    </row>
    <row r="342" spans="2:19" s="475" customFormat="1" x14ac:dyDescent="0.3">
      <c r="B342" s="491" t="s">
        <v>392</v>
      </c>
      <c r="C342" s="490"/>
      <c r="D342" s="14"/>
      <c r="E342" s="14"/>
      <c r="G342" s="14">
        <v>25</v>
      </c>
      <c r="H342" s="14">
        <v>3</v>
      </c>
      <c r="I342" s="148">
        <v>13</v>
      </c>
      <c r="J342" s="148">
        <v>6</v>
      </c>
      <c r="K342" s="148">
        <v>81</v>
      </c>
      <c r="L342" s="148">
        <v>206</v>
      </c>
      <c r="M342" s="148">
        <v>426</v>
      </c>
      <c r="N342" s="148">
        <v>506</v>
      </c>
      <c r="O342" s="148"/>
    </row>
    <row r="343" spans="2:19" s="475" customFormat="1" x14ac:dyDescent="0.3">
      <c r="B343" s="491" t="s">
        <v>393</v>
      </c>
      <c r="C343" s="490"/>
      <c r="D343" s="14"/>
      <c r="E343" s="14"/>
      <c r="G343" s="14">
        <v>1299</v>
      </c>
      <c r="H343" s="14">
        <v>518</v>
      </c>
      <c r="I343" s="148">
        <v>1129</v>
      </c>
      <c r="J343" s="148">
        <v>1022</v>
      </c>
      <c r="K343" s="148">
        <v>1114</v>
      </c>
      <c r="L343" s="512">
        <v>454</v>
      </c>
      <c r="M343" s="512">
        <v>467</v>
      </c>
      <c r="N343" s="512">
        <v>1016</v>
      </c>
      <c r="O343" s="195"/>
    </row>
    <row r="344" spans="2:19" s="475" customFormat="1" x14ac:dyDescent="0.3">
      <c r="B344" s="578" t="s">
        <v>776</v>
      </c>
      <c r="C344" s="52"/>
      <c r="D344" s="24"/>
      <c r="E344" s="24"/>
      <c r="J344" s="2"/>
      <c r="K344" s="2">
        <v>109.19</v>
      </c>
      <c r="L344" s="148">
        <v>257.83</v>
      </c>
      <c r="M344" s="475">
        <v>245.33</v>
      </c>
      <c r="N344" s="148">
        <v>206.46</v>
      </c>
    </row>
    <row r="345" spans="2:19" s="475" customFormat="1" x14ac:dyDescent="0.3">
      <c r="B345" s="699" t="s">
        <v>248</v>
      </c>
      <c r="C345" s="699"/>
      <c r="D345" s="43"/>
      <c r="E345" s="21"/>
      <c r="F345" s="43"/>
      <c r="G345" s="21"/>
      <c r="H345" s="43"/>
      <c r="I345" s="21"/>
      <c r="J345" s="43"/>
      <c r="K345" s="43"/>
      <c r="L345" s="413" t="s">
        <v>611</v>
      </c>
      <c r="M345" s="413"/>
      <c r="N345" s="413"/>
      <c r="O345" s="413"/>
    </row>
    <row r="346" spans="2:19" s="475" customFormat="1" x14ac:dyDescent="0.3">
      <c r="B346" s="32"/>
      <c r="C346" s="32"/>
      <c r="D346" s="39">
        <v>2007</v>
      </c>
      <c r="E346" s="39">
        <v>2008</v>
      </c>
      <c r="F346" s="39">
        <v>2009</v>
      </c>
      <c r="G346" s="39">
        <v>2010</v>
      </c>
      <c r="H346" s="39">
        <v>2011</v>
      </c>
      <c r="I346" s="39">
        <v>2012</v>
      </c>
      <c r="J346" s="39">
        <v>2013</v>
      </c>
      <c r="K346" s="39">
        <v>2014</v>
      </c>
      <c r="L346" s="416">
        <v>2015</v>
      </c>
      <c r="M346" s="416">
        <v>2016</v>
      </c>
      <c r="N346" s="416">
        <v>2017</v>
      </c>
      <c r="O346" s="416"/>
      <c r="P346" s="6"/>
      <c r="Q346" s="6"/>
      <c r="R346" s="6"/>
      <c r="S346" s="6"/>
    </row>
    <row r="347" spans="2:19" s="475" customFormat="1" x14ac:dyDescent="0.3">
      <c r="B347" s="9" t="s">
        <v>395</v>
      </c>
      <c r="C347" s="59" t="s">
        <v>233</v>
      </c>
      <c r="D347" s="10"/>
      <c r="E347" s="10"/>
      <c r="F347" s="10"/>
      <c r="G347" s="10"/>
      <c r="H347" s="10">
        <v>0</v>
      </c>
      <c r="I347" s="10">
        <v>3</v>
      </c>
      <c r="J347" s="10">
        <v>1</v>
      </c>
      <c r="K347" s="10">
        <v>0</v>
      </c>
      <c r="L347" s="414" t="s">
        <v>589</v>
      </c>
      <c r="M347" s="414"/>
      <c r="N347" s="414"/>
      <c r="O347" s="580"/>
      <c r="P347" s="6"/>
      <c r="Q347" s="6"/>
      <c r="R347" s="6"/>
      <c r="S347" s="6"/>
    </row>
    <row r="348" spans="2:19" s="6" customFormat="1" x14ac:dyDescent="0.3">
      <c r="B348" s="9" t="s">
        <v>397</v>
      </c>
      <c r="C348" s="59" t="s">
        <v>233</v>
      </c>
      <c r="D348" s="10"/>
      <c r="E348" s="10"/>
      <c r="F348" s="10"/>
      <c r="G348" s="10"/>
      <c r="H348" s="10">
        <v>0</v>
      </c>
      <c r="I348" s="10">
        <v>0</v>
      </c>
      <c r="J348" s="10">
        <v>0</v>
      </c>
      <c r="K348" s="10">
        <v>0</v>
      </c>
      <c r="L348" s="415" t="s">
        <v>589</v>
      </c>
      <c r="M348" s="415"/>
      <c r="N348" s="415"/>
      <c r="O348" s="415"/>
      <c r="P348" s="475"/>
      <c r="Q348" s="475"/>
      <c r="R348" s="475"/>
      <c r="S348" s="475"/>
    </row>
    <row r="349" spans="2:19" s="6" customFormat="1" x14ac:dyDescent="0.3">
      <c r="B349" s="9" t="s">
        <v>396</v>
      </c>
      <c r="C349" s="59" t="s">
        <v>233</v>
      </c>
      <c r="H349" s="6">
        <v>0</v>
      </c>
      <c r="I349" s="6">
        <f>I347+(I348/1.4)</f>
        <v>3</v>
      </c>
      <c r="J349" s="475">
        <f>J347+(J348/1.4)</f>
        <v>1</v>
      </c>
      <c r="K349" s="6">
        <f>K347+(K348/1.4)</f>
        <v>0</v>
      </c>
      <c r="L349" s="415" t="s">
        <v>589</v>
      </c>
      <c r="M349" s="415"/>
      <c r="N349" s="415"/>
      <c r="O349" s="415"/>
      <c r="P349" s="475"/>
      <c r="Q349" s="475"/>
      <c r="R349" s="475"/>
      <c r="S349" s="475"/>
    </row>
    <row r="350" spans="2:19" s="475" customFormat="1" x14ac:dyDescent="0.3">
      <c r="B350" s="138" t="s">
        <v>395</v>
      </c>
      <c r="C350" s="45" t="s">
        <v>234</v>
      </c>
      <c r="D350" s="6"/>
      <c r="E350" s="6"/>
      <c r="F350" s="6"/>
      <c r="G350" s="6"/>
      <c r="H350" s="6">
        <v>0</v>
      </c>
      <c r="I350" s="6">
        <v>0</v>
      </c>
      <c r="J350" s="475">
        <v>0</v>
      </c>
      <c r="K350" s="6">
        <v>0</v>
      </c>
      <c r="L350" s="415" t="s">
        <v>589</v>
      </c>
      <c r="M350" s="415"/>
      <c r="N350" s="415"/>
      <c r="O350" s="415"/>
    </row>
    <row r="351" spans="2:19" s="475" customFormat="1" x14ac:dyDescent="0.3">
      <c r="B351" s="138" t="s">
        <v>397</v>
      </c>
      <c r="C351" s="45" t="s">
        <v>234</v>
      </c>
      <c r="H351" s="6">
        <v>0</v>
      </c>
      <c r="I351" s="6">
        <v>0</v>
      </c>
      <c r="J351" s="475">
        <v>0</v>
      </c>
      <c r="K351" s="475">
        <v>0</v>
      </c>
      <c r="L351" s="414" t="s">
        <v>589</v>
      </c>
      <c r="M351" s="414"/>
      <c r="N351" s="414"/>
      <c r="O351" s="580"/>
    </row>
    <row r="352" spans="2:19" s="475" customFormat="1" x14ac:dyDescent="0.3">
      <c r="B352" s="138" t="s">
        <v>396</v>
      </c>
      <c r="C352" s="45" t="s">
        <v>234</v>
      </c>
      <c r="H352" s="475">
        <f>H350+(H351/1.4)</f>
        <v>0</v>
      </c>
      <c r="I352" s="475">
        <f>I350+(I351/1.4)</f>
        <v>0</v>
      </c>
      <c r="J352" s="475">
        <v>0</v>
      </c>
      <c r="K352" s="475">
        <v>0</v>
      </c>
      <c r="L352" s="414" t="s">
        <v>589</v>
      </c>
      <c r="M352" s="414"/>
      <c r="N352" s="414"/>
      <c r="O352" s="580"/>
      <c r="P352" s="6"/>
      <c r="Q352" s="6"/>
      <c r="R352" s="6"/>
      <c r="S352" s="6"/>
    </row>
    <row r="353" spans="2:19" s="475" customFormat="1" x14ac:dyDescent="0.3">
      <c r="B353" s="9" t="s">
        <v>395</v>
      </c>
      <c r="C353" s="27" t="s">
        <v>168</v>
      </c>
      <c r="H353" s="475">
        <v>257</v>
      </c>
      <c r="I353" s="475">
        <v>11</v>
      </c>
      <c r="J353" s="475">
        <v>331</v>
      </c>
      <c r="K353" s="475">
        <v>278</v>
      </c>
      <c r="L353" s="414">
        <v>321</v>
      </c>
      <c r="M353" s="414">
        <v>143</v>
      </c>
      <c r="N353" s="414">
        <v>90</v>
      </c>
      <c r="O353" s="580"/>
      <c r="P353" s="6"/>
      <c r="Q353" s="6"/>
      <c r="R353" s="6"/>
      <c r="S353" s="6"/>
    </row>
    <row r="354" spans="2:19" s="6" customFormat="1" x14ac:dyDescent="0.3">
      <c r="B354" s="9" t="s">
        <v>397</v>
      </c>
      <c r="C354" s="27" t="s">
        <v>168</v>
      </c>
      <c r="D354" s="475"/>
      <c r="E354" s="475"/>
      <c r="F354" s="475"/>
      <c r="G354" s="475"/>
      <c r="H354" s="475">
        <v>486</v>
      </c>
      <c r="I354" s="475">
        <v>0</v>
      </c>
      <c r="J354" s="475">
        <v>281</v>
      </c>
      <c r="K354" s="475">
        <v>10</v>
      </c>
      <c r="L354" s="414">
        <v>208</v>
      </c>
      <c r="M354" s="414">
        <v>7</v>
      </c>
      <c r="N354" s="414">
        <v>248</v>
      </c>
      <c r="O354" s="580"/>
    </row>
    <row r="355" spans="2:19" s="6" customFormat="1" x14ac:dyDescent="0.3">
      <c r="B355" s="9" t="s">
        <v>396</v>
      </c>
      <c r="C355" s="27" t="s">
        <v>168</v>
      </c>
      <c r="H355" s="211">
        <f>H353+(H354/1.4)</f>
        <v>604.14285714285711</v>
      </c>
      <c r="I355" s="6">
        <f>I353+(I354/1.4)</f>
        <v>11</v>
      </c>
      <c r="J355" s="190">
        <f>J353+(J354/1.4)</f>
        <v>531.71428571428578</v>
      </c>
      <c r="K355" s="211">
        <f>K353+(K354/1.4)</f>
        <v>285.14285714285717</v>
      </c>
      <c r="L355" s="415">
        <f>SUM(L353:L354)</f>
        <v>529</v>
      </c>
      <c r="M355" s="415"/>
      <c r="N355" s="415"/>
      <c r="O355" s="415"/>
    </row>
    <row r="356" spans="2:19" s="6" customFormat="1" x14ac:dyDescent="0.3">
      <c r="B356" s="138" t="s">
        <v>395</v>
      </c>
      <c r="C356" s="45" t="s">
        <v>169</v>
      </c>
      <c r="H356" s="6">
        <v>1</v>
      </c>
      <c r="I356" s="6">
        <v>0</v>
      </c>
      <c r="J356" s="475">
        <v>14</v>
      </c>
      <c r="K356" s="6">
        <v>8</v>
      </c>
      <c r="L356" s="415" t="s">
        <v>589</v>
      </c>
      <c r="M356" s="415">
        <v>36</v>
      </c>
      <c r="N356" s="415">
        <v>6</v>
      </c>
      <c r="O356" s="415"/>
    </row>
    <row r="357" spans="2:19" s="6" customFormat="1" x14ac:dyDescent="0.3">
      <c r="B357" s="138" t="s">
        <v>397</v>
      </c>
      <c r="C357" s="45" t="s">
        <v>169</v>
      </c>
      <c r="D357" s="475"/>
      <c r="E357" s="475"/>
      <c r="F357" s="475"/>
      <c r="G357" s="475"/>
      <c r="H357" s="475">
        <v>1</v>
      </c>
      <c r="I357" s="6">
        <v>0</v>
      </c>
      <c r="J357" s="475">
        <v>0</v>
      </c>
      <c r="K357" s="475">
        <v>0</v>
      </c>
      <c r="L357" s="415" t="s">
        <v>589</v>
      </c>
      <c r="M357" s="415">
        <v>0</v>
      </c>
      <c r="N357" s="415">
        <v>0</v>
      </c>
      <c r="O357" s="415"/>
      <c r="P357" s="475"/>
      <c r="Q357" s="475"/>
      <c r="R357" s="475"/>
      <c r="S357" s="475"/>
    </row>
    <row r="358" spans="2:19" s="6" customFormat="1" x14ac:dyDescent="0.3">
      <c r="B358" s="138" t="s">
        <v>396</v>
      </c>
      <c r="C358" s="45" t="s">
        <v>169</v>
      </c>
      <c r="D358" s="475"/>
      <c r="E358" s="475"/>
      <c r="F358" s="475"/>
      <c r="G358" s="475"/>
      <c r="H358" s="221">
        <f>H356+(H357/1.4)</f>
        <v>1.7142857142857144</v>
      </c>
      <c r="I358" s="475">
        <f>I356+(I357/1.4)</f>
        <v>0</v>
      </c>
      <c r="J358" s="475">
        <f>J356+(J357/1.4)</f>
        <v>14</v>
      </c>
      <c r="K358" s="475">
        <f>K356+(K357/1.4)</f>
        <v>8</v>
      </c>
      <c r="L358" s="415" t="s">
        <v>589</v>
      </c>
      <c r="M358" s="415"/>
      <c r="N358" s="415"/>
      <c r="O358" s="415"/>
      <c r="P358" s="475"/>
      <c r="Q358" s="475"/>
      <c r="R358" s="475"/>
      <c r="S358" s="475"/>
    </row>
    <row r="359" spans="2:19" s="475" customFormat="1" x14ac:dyDescent="0.3">
      <c r="B359" s="9" t="s">
        <v>395</v>
      </c>
      <c r="C359" s="27" t="s">
        <v>170</v>
      </c>
      <c r="D359" s="12"/>
      <c r="E359" s="12"/>
      <c r="F359" s="12"/>
      <c r="G359" s="12"/>
      <c r="H359" s="12">
        <v>0</v>
      </c>
      <c r="I359" s="12">
        <v>0</v>
      </c>
      <c r="J359" s="12">
        <v>0</v>
      </c>
      <c r="K359" s="12">
        <v>0</v>
      </c>
      <c r="L359" s="415" t="s">
        <v>589</v>
      </c>
      <c r="M359" s="415"/>
      <c r="N359" s="415"/>
      <c r="O359" s="415"/>
    </row>
    <row r="360" spans="2:19" s="475" customFormat="1" x14ac:dyDescent="0.3">
      <c r="B360" s="9" t="s">
        <v>397</v>
      </c>
      <c r="C360" s="27" t="s">
        <v>170</v>
      </c>
      <c r="D360" s="12"/>
      <c r="E360" s="12"/>
      <c r="F360" s="12"/>
      <c r="G360" s="12"/>
      <c r="H360" s="12">
        <v>0</v>
      </c>
      <c r="I360" s="12">
        <v>0</v>
      </c>
      <c r="J360" s="12">
        <v>0</v>
      </c>
      <c r="K360" s="12">
        <v>0</v>
      </c>
      <c r="L360" s="415" t="s">
        <v>589</v>
      </c>
      <c r="M360" s="415"/>
      <c r="N360" s="415"/>
      <c r="O360" s="415"/>
    </row>
    <row r="361" spans="2:19" s="475" customFormat="1" x14ac:dyDescent="0.3">
      <c r="B361" s="9" t="s">
        <v>396</v>
      </c>
      <c r="C361" s="27" t="s">
        <v>170</v>
      </c>
      <c r="D361" s="12"/>
      <c r="E361" s="12"/>
      <c r="F361" s="12"/>
      <c r="G361" s="12"/>
      <c r="H361" s="12">
        <f>H359+(H360/1.4)</f>
        <v>0</v>
      </c>
      <c r="I361" s="12">
        <f>I359+(I360/1.4)</f>
        <v>0</v>
      </c>
      <c r="J361" s="12">
        <f>J359+(J360/1.4)</f>
        <v>0</v>
      </c>
      <c r="K361" s="12">
        <f>K359+(K360/1.4)</f>
        <v>0</v>
      </c>
      <c r="L361" s="415" t="s">
        <v>589</v>
      </c>
      <c r="M361" s="415"/>
      <c r="N361" s="415"/>
      <c r="O361" s="415"/>
    </row>
    <row r="362" spans="2:19" s="475" customFormat="1" x14ac:dyDescent="0.3">
      <c r="B362" s="138" t="s">
        <v>395</v>
      </c>
      <c r="C362" s="45" t="s">
        <v>171</v>
      </c>
      <c r="D362" s="6"/>
      <c r="E362" s="6"/>
      <c r="F362" s="6"/>
      <c r="G362" s="6"/>
      <c r="H362" s="6">
        <v>9</v>
      </c>
      <c r="I362" s="6">
        <v>0</v>
      </c>
      <c r="J362" s="475">
        <v>12</v>
      </c>
      <c r="K362" s="6">
        <v>0</v>
      </c>
      <c r="L362" s="415" t="s">
        <v>589</v>
      </c>
      <c r="M362" s="415"/>
      <c r="N362" s="415">
        <v>21</v>
      </c>
      <c r="O362" s="415"/>
    </row>
    <row r="363" spans="2:19" s="475" customFormat="1" x14ac:dyDescent="0.3">
      <c r="B363" s="138" t="s">
        <v>397</v>
      </c>
      <c r="C363" s="45" t="s">
        <v>171</v>
      </c>
      <c r="H363" s="475">
        <v>19</v>
      </c>
      <c r="I363" s="475">
        <v>0</v>
      </c>
      <c r="J363" s="475">
        <v>9</v>
      </c>
      <c r="K363" s="475">
        <v>0</v>
      </c>
      <c r="L363" s="415" t="s">
        <v>589</v>
      </c>
      <c r="M363" s="415"/>
      <c r="N363" s="415">
        <v>0</v>
      </c>
      <c r="O363" s="415"/>
    </row>
    <row r="364" spans="2:19" s="475" customFormat="1" x14ac:dyDescent="0.3">
      <c r="B364" s="138" t="s">
        <v>396</v>
      </c>
      <c r="C364" s="45" t="s">
        <v>171</v>
      </c>
      <c r="H364" s="190">
        <f>H362+(H363/1.4)</f>
        <v>22.571428571428573</v>
      </c>
      <c r="I364" s="475">
        <f>I362+(I363/1.4)</f>
        <v>0</v>
      </c>
      <c r="J364" s="190">
        <f>J362+(J363/1.4)</f>
        <v>18.428571428571431</v>
      </c>
      <c r="K364" s="475">
        <v>0</v>
      </c>
      <c r="L364" s="415" t="s">
        <v>589</v>
      </c>
      <c r="M364" s="415"/>
      <c r="N364" s="415"/>
      <c r="O364" s="415"/>
    </row>
    <row r="365" spans="2:19" s="475" customFormat="1" x14ac:dyDescent="0.3">
      <c r="B365" s="9" t="s">
        <v>395</v>
      </c>
      <c r="C365" s="59" t="s">
        <v>172</v>
      </c>
      <c r="H365" s="475">
        <v>91</v>
      </c>
      <c r="I365" s="475">
        <v>243</v>
      </c>
      <c r="J365" s="475">
        <v>278</v>
      </c>
      <c r="K365" s="475">
        <v>247</v>
      </c>
      <c r="L365" s="414">
        <v>831</v>
      </c>
      <c r="M365" s="414">
        <v>367</v>
      </c>
      <c r="N365" s="414">
        <v>423</v>
      </c>
      <c r="O365" s="580"/>
    </row>
    <row r="366" spans="2:19" s="475" customFormat="1" x14ac:dyDescent="0.3">
      <c r="B366" s="9" t="s">
        <v>397</v>
      </c>
      <c r="C366" s="59" t="s">
        <v>172</v>
      </c>
      <c r="H366" s="475">
        <v>175</v>
      </c>
      <c r="I366" s="475">
        <v>11</v>
      </c>
      <c r="J366" s="475">
        <v>18</v>
      </c>
      <c r="K366" s="475">
        <v>114</v>
      </c>
      <c r="L366" s="414">
        <v>40</v>
      </c>
      <c r="M366" s="414">
        <v>227</v>
      </c>
      <c r="N366" s="414">
        <v>75</v>
      </c>
      <c r="O366" s="580"/>
    </row>
    <row r="367" spans="2:19" s="475" customFormat="1" x14ac:dyDescent="0.3">
      <c r="B367" s="9" t="s">
        <v>396</v>
      </c>
      <c r="C367" s="59" t="s">
        <v>172</v>
      </c>
      <c r="D367" s="6"/>
      <c r="E367" s="6"/>
      <c r="F367" s="6"/>
      <c r="G367" s="6"/>
      <c r="H367" s="6">
        <f>H365+(H366/1.4)</f>
        <v>216</v>
      </c>
      <c r="I367" s="211">
        <f>I365+(I366/1.4)</f>
        <v>250.85714285714286</v>
      </c>
      <c r="J367" s="190">
        <f>J365+(J366/1.4)</f>
        <v>290.85714285714283</v>
      </c>
      <c r="K367" s="190">
        <f>K365+(K366/1.4)</f>
        <v>328.42857142857144</v>
      </c>
      <c r="L367" s="415" t="s">
        <v>589</v>
      </c>
      <c r="M367" s="415"/>
      <c r="N367" s="415"/>
      <c r="O367" s="415"/>
    </row>
    <row r="368" spans="2:19" s="475" customFormat="1" x14ac:dyDescent="0.3">
      <c r="B368" s="138" t="s">
        <v>395</v>
      </c>
      <c r="C368" s="45" t="s">
        <v>235</v>
      </c>
      <c r="D368" s="6"/>
      <c r="E368" s="6"/>
      <c r="F368" s="6"/>
      <c r="G368" s="6"/>
      <c r="H368" s="6">
        <v>0</v>
      </c>
      <c r="I368" s="6">
        <v>0</v>
      </c>
      <c r="J368" s="475">
        <v>0</v>
      </c>
      <c r="K368" s="6">
        <v>0</v>
      </c>
      <c r="L368" s="415">
        <v>75</v>
      </c>
      <c r="M368" s="415">
        <v>75</v>
      </c>
      <c r="N368" s="415">
        <v>61</v>
      </c>
      <c r="O368" s="415"/>
    </row>
    <row r="369" spans="2:15" s="475" customFormat="1" x14ac:dyDescent="0.3">
      <c r="B369" s="138" t="s">
        <v>397</v>
      </c>
      <c r="C369" s="45" t="s">
        <v>235</v>
      </c>
      <c r="H369" s="6">
        <v>0</v>
      </c>
      <c r="I369" s="475">
        <v>0</v>
      </c>
      <c r="J369" s="475">
        <v>0</v>
      </c>
      <c r="K369" s="6">
        <v>0</v>
      </c>
      <c r="L369" s="414">
        <v>0</v>
      </c>
      <c r="M369" s="414">
        <v>0</v>
      </c>
      <c r="N369" s="414">
        <v>0</v>
      </c>
      <c r="O369" s="580"/>
    </row>
    <row r="370" spans="2:15" s="475" customFormat="1" x14ac:dyDescent="0.3">
      <c r="B370" s="138" t="s">
        <v>396</v>
      </c>
      <c r="C370" s="45" t="s">
        <v>235</v>
      </c>
      <c r="H370" s="475">
        <f>H368+(H369/1.4)</f>
        <v>0</v>
      </c>
      <c r="I370" s="475">
        <f>I368+(I369/1.4)</f>
        <v>0</v>
      </c>
      <c r="J370" s="475">
        <f>J368+(J369/1.4)</f>
        <v>0</v>
      </c>
      <c r="K370" s="475">
        <v>0</v>
      </c>
      <c r="L370" s="414">
        <f>SUM(L368:L369)</f>
        <v>75</v>
      </c>
      <c r="M370" s="414"/>
      <c r="N370" s="414"/>
      <c r="O370" s="580"/>
    </row>
    <row r="371" spans="2:15" s="475" customFormat="1" x14ac:dyDescent="0.3">
      <c r="B371" s="9" t="s">
        <v>395</v>
      </c>
      <c r="C371" s="27" t="s">
        <v>345</v>
      </c>
      <c r="H371" s="475">
        <v>20</v>
      </c>
      <c r="I371" s="475">
        <v>20</v>
      </c>
      <c r="J371" s="475">
        <v>0</v>
      </c>
      <c r="K371" s="475">
        <v>0</v>
      </c>
      <c r="L371" s="414">
        <v>34</v>
      </c>
      <c r="M371" s="414"/>
      <c r="N371" s="414">
        <v>87</v>
      </c>
      <c r="O371" s="580"/>
    </row>
    <row r="372" spans="2:15" s="475" customFormat="1" x14ac:dyDescent="0.3">
      <c r="B372" s="9" t="s">
        <v>397</v>
      </c>
      <c r="C372" s="27" t="s">
        <v>345</v>
      </c>
      <c r="H372" s="475">
        <v>36</v>
      </c>
      <c r="I372" s="475">
        <v>0</v>
      </c>
      <c r="J372" s="475">
        <v>0</v>
      </c>
      <c r="K372" s="475">
        <v>0</v>
      </c>
      <c r="L372" s="414">
        <v>0</v>
      </c>
      <c r="M372" s="414"/>
      <c r="N372" s="414">
        <v>0</v>
      </c>
      <c r="O372" s="580"/>
    </row>
    <row r="373" spans="2:15" s="475" customFormat="1" x14ac:dyDescent="0.3">
      <c r="B373" s="9" t="s">
        <v>396</v>
      </c>
      <c r="C373" s="27" t="s">
        <v>345</v>
      </c>
      <c r="D373" s="6"/>
      <c r="E373" s="6"/>
      <c r="F373" s="6"/>
      <c r="G373" s="6"/>
      <c r="H373" s="211">
        <f>H371+(H372/1.4)</f>
        <v>45.714285714285715</v>
      </c>
      <c r="I373" s="6">
        <f>I371+(I372/1.4)</f>
        <v>20</v>
      </c>
      <c r="J373" s="475">
        <f>J371+(J372/1.4)</f>
        <v>0</v>
      </c>
      <c r="K373" s="6">
        <v>0</v>
      </c>
      <c r="L373" s="415" t="s">
        <v>589</v>
      </c>
      <c r="M373" s="415"/>
      <c r="N373" s="415"/>
      <c r="O373" s="415"/>
    </row>
    <row r="374" spans="2:15" s="475" customFormat="1" x14ac:dyDescent="0.3">
      <c r="B374" s="138" t="s">
        <v>395</v>
      </c>
      <c r="C374" s="45" t="s">
        <v>175</v>
      </c>
      <c r="D374" s="6"/>
      <c r="E374" s="6"/>
      <c r="F374" s="6"/>
      <c r="G374" s="6"/>
      <c r="H374" s="6">
        <v>0</v>
      </c>
      <c r="I374" s="6">
        <v>0</v>
      </c>
      <c r="J374" s="475">
        <v>0</v>
      </c>
      <c r="K374" s="6">
        <v>102</v>
      </c>
      <c r="L374" s="415" t="s">
        <v>589</v>
      </c>
      <c r="M374" s="415">
        <v>42</v>
      </c>
      <c r="N374" s="415">
        <v>75</v>
      </c>
      <c r="O374" s="415"/>
    </row>
    <row r="375" spans="2:15" s="475" customFormat="1" x14ac:dyDescent="0.3">
      <c r="B375" s="138" t="s">
        <v>397</v>
      </c>
      <c r="C375" s="45" t="s">
        <v>175</v>
      </c>
      <c r="H375" s="475">
        <v>54</v>
      </c>
      <c r="I375" s="6">
        <v>0</v>
      </c>
      <c r="J375" s="475">
        <v>0</v>
      </c>
      <c r="K375" s="475">
        <v>0</v>
      </c>
      <c r="L375" s="415" t="s">
        <v>589</v>
      </c>
      <c r="M375" s="415">
        <v>0</v>
      </c>
      <c r="N375" s="415">
        <v>34</v>
      </c>
      <c r="O375" s="415"/>
    </row>
    <row r="376" spans="2:15" s="475" customFormat="1" x14ac:dyDescent="0.3">
      <c r="B376" s="138" t="s">
        <v>396</v>
      </c>
      <c r="C376" s="45" t="s">
        <v>175</v>
      </c>
      <c r="H376" s="190">
        <f>H374+(H375/1.4)</f>
        <v>38.571428571428577</v>
      </c>
      <c r="I376" s="475">
        <f>I374+(I375/1.4)</f>
        <v>0</v>
      </c>
      <c r="J376" s="475">
        <f>J374+(J375/1.4)</f>
        <v>0</v>
      </c>
      <c r="K376" s="475">
        <f>K374+(K375/1.4)</f>
        <v>102</v>
      </c>
      <c r="L376" s="415" t="s">
        <v>589</v>
      </c>
      <c r="M376" s="415"/>
      <c r="N376" s="415"/>
      <c r="O376" s="415"/>
    </row>
    <row r="377" spans="2:15" s="475" customFormat="1" x14ac:dyDescent="0.3">
      <c r="B377" s="9" t="s">
        <v>395</v>
      </c>
      <c r="C377" s="59" t="s">
        <v>176</v>
      </c>
      <c r="H377" s="475">
        <v>0</v>
      </c>
      <c r="I377" s="475">
        <v>0</v>
      </c>
      <c r="J377" s="475">
        <v>0</v>
      </c>
      <c r="K377" s="475">
        <v>40</v>
      </c>
      <c r="L377" s="414">
        <v>42</v>
      </c>
      <c r="M377" s="414">
        <v>3</v>
      </c>
      <c r="N377" s="414"/>
      <c r="O377" s="580"/>
    </row>
    <row r="378" spans="2:15" s="475" customFormat="1" x14ac:dyDescent="0.3">
      <c r="B378" s="9" t="s">
        <v>397</v>
      </c>
      <c r="C378" s="59" t="s">
        <v>176</v>
      </c>
      <c r="H378" s="475">
        <v>0</v>
      </c>
      <c r="I378" s="475">
        <v>0</v>
      </c>
      <c r="J378" s="475">
        <v>0</v>
      </c>
      <c r="K378" s="475">
        <v>0</v>
      </c>
      <c r="L378" s="414">
        <v>0</v>
      </c>
      <c r="M378" s="414">
        <v>0</v>
      </c>
      <c r="N378" s="414"/>
      <c r="O378" s="580"/>
    </row>
    <row r="379" spans="2:15" s="475" customFormat="1" x14ac:dyDescent="0.3">
      <c r="B379" s="9" t="s">
        <v>396</v>
      </c>
      <c r="C379" s="59" t="s">
        <v>176</v>
      </c>
      <c r="D379" s="6"/>
      <c r="E379" s="6"/>
      <c r="F379" s="6"/>
      <c r="G379" s="6"/>
      <c r="H379" s="6">
        <f>H377+(H378/1.4)</f>
        <v>0</v>
      </c>
      <c r="I379" s="6">
        <f>I377+(I378/1.4)</f>
        <v>0</v>
      </c>
      <c r="J379" s="475">
        <f>J377+(J378/1.4)</f>
        <v>0</v>
      </c>
      <c r="K379" s="475">
        <f>K377+(K378/1.4)</f>
        <v>40</v>
      </c>
      <c r="L379" s="415" t="s">
        <v>589</v>
      </c>
      <c r="M379" s="415"/>
      <c r="N379" s="415"/>
      <c r="O379" s="415"/>
    </row>
    <row r="380" spans="2:15" s="475" customFormat="1" x14ac:dyDescent="0.3">
      <c r="B380" s="138" t="s">
        <v>395</v>
      </c>
      <c r="C380" s="45" t="s">
        <v>237</v>
      </c>
      <c r="D380" s="6"/>
      <c r="E380" s="6"/>
      <c r="F380" s="6"/>
      <c r="G380" s="6"/>
      <c r="H380" s="6">
        <v>1</v>
      </c>
      <c r="I380" s="6">
        <v>0</v>
      </c>
      <c r="J380" s="475">
        <v>45</v>
      </c>
      <c r="K380" s="6">
        <v>0</v>
      </c>
      <c r="L380" s="415" t="s">
        <v>589</v>
      </c>
      <c r="M380" s="415"/>
      <c r="N380" s="415">
        <v>40</v>
      </c>
      <c r="O380" s="415"/>
    </row>
    <row r="381" spans="2:15" s="475" customFormat="1" x14ac:dyDescent="0.3">
      <c r="B381" s="138" t="s">
        <v>397</v>
      </c>
      <c r="C381" s="45" t="s">
        <v>237</v>
      </c>
      <c r="H381" s="475">
        <v>3</v>
      </c>
      <c r="I381" s="6">
        <v>0</v>
      </c>
      <c r="J381" s="475">
        <v>2</v>
      </c>
      <c r="K381" s="6">
        <v>0</v>
      </c>
      <c r="L381" s="415" t="s">
        <v>589</v>
      </c>
      <c r="M381" s="415"/>
      <c r="N381" s="415">
        <v>0</v>
      </c>
      <c r="O381" s="415"/>
    </row>
    <row r="382" spans="2:15" s="475" customFormat="1" x14ac:dyDescent="0.3">
      <c r="B382" s="138" t="s">
        <v>396</v>
      </c>
      <c r="C382" s="45" t="s">
        <v>237</v>
      </c>
      <c r="H382" s="190">
        <f>H380+(H381/1.4)</f>
        <v>3.1428571428571428</v>
      </c>
      <c r="I382" s="475">
        <f>I380+(I381/1.4)</f>
        <v>0</v>
      </c>
      <c r="J382" s="190">
        <f>J380+(J381/1.4)</f>
        <v>46.428571428571431</v>
      </c>
      <c r="K382" s="6">
        <v>0</v>
      </c>
      <c r="L382" s="415" t="s">
        <v>589</v>
      </c>
      <c r="M382" s="415"/>
      <c r="N382" s="415"/>
      <c r="O382" s="415"/>
    </row>
    <row r="383" spans="2:15" s="475" customFormat="1" x14ac:dyDescent="0.3">
      <c r="B383" s="9" t="s">
        <v>395</v>
      </c>
      <c r="C383" s="59" t="s">
        <v>178</v>
      </c>
      <c r="H383" s="475">
        <v>14</v>
      </c>
      <c r="I383" s="475">
        <v>130</v>
      </c>
      <c r="J383" s="475">
        <v>102</v>
      </c>
      <c r="K383" s="6">
        <v>72</v>
      </c>
      <c r="L383" s="414">
        <v>161</v>
      </c>
      <c r="M383" s="414">
        <v>343</v>
      </c>
      <c r="N383" s="414"/>
      <c r="O383" s="580"/>
    </row>
    <row r="384" spans="2:15" s="475" customFormat="1" x14ac:dyDescent="0.3">
      <c r="B384" s="9" t="s">
        <v>397</v>
      </c>
      <c r="C384" s="59" t="s">
        <v>178</v>
      </c>
      <c r="H384" s="475">
        <v>19</v>
      </c>
      <c r="I384" s="475">
        <v>70</v>
      </c>
      <c r="J384" s="475">
        <v>0</v>
      </c>
      <c r="K384" s="6">
        <v>236</v>
      </c>
      <c r="L384" s="414">
        <v>79</v>
      </c>
      <c r="M384" s="414">
        <v>64</v>
      </c>
      <c r="N384" s="414"/>
      <c r="O384" s="580"/>
    </row>
    <row r="385" spans="2:15" s="475" customFormat="1" x14ac:dyDescent="0.3">
      <c r="B385" s="9" t="s">
        <v>396</v>
      </c>
      <c r="C385" s="59" t="s">
        <v>178</v>
      </c>
      <c r="D385" s="6"/>
      <c r="E385" s="6"/>
      <c r="F385" s="6"/>
      <c r="G385" s="6"/>
      <c r="H385" s="211">
        <f>H383+(H384/1.4)</f>
        <v>27.571428571428573</v>
      </c>
      <c r="I385" s="6">
        <f>I383+(I384/1.4)</f>
        <v>180</v>
      </c>
      <c r="J385" s="475">
        <f>J383+(J384/1.4)</f>
        <v>102</v>
      </c>
      <c r="K385" s="190">
        <f>K383+(K384/1.4)</f>
        <v>240.57142857142858</v>
      </c>
      <c r="L385" s="415" t="s">
        <v>589</v>
      </c>
      <c r="M385" s="415"/>
      <c r="N385" s="415"/>
      <c r="O385" s="415"/>
    </row>
    <row r="386" spans="2:15" s="475" customFormat="1" x14ac:dyDescent="0.3">
      <c r="B386" s="138" t="s">
        <v>395</v>
      </c>
      <c r="C386" s="45" t="s">
        <v>238</v>
      </c>
      <c r="D386" s="6"/>
      <c r="E386" s="6"/>
      <c r="F386" s="6"/>
      <c r="G386" s="6"/>
      <c r="H386" s="6">
        <v>54</v>
      </c>
      <c r="I386" s="6">
        <v>0</v>
      </c>
      <c r="J386" s="475">
        <v>1</v>
      </c>
      <c r="K386" s="6">
        <v>0</v>
      </c>
      <c r="L386" s="415">
        <v>17</v>
      </c>
      <c r="M386" s="415"/>
      <c r="N386" s="415">
        <v>46</v>
      </c>
      <c r="O386" s="415"/>
    </row>
    <row r="387" spans="2:15" s="475" customFormat="1" x14ac:dyDescent="0.3">
      <c r="B387" s="138" t="s">
        <v>397</v>
      </c>
      <c r="C387" s="45" t="s">
        <v>238</v>
      </c>
      <c r="H387" s="475">
        <v>81</v>
      </c>
      <c r="I387" s="6">
        <v>0</v>
      </c>
      <c r="J387" s="475">
        <v>0</v>
      </c>
      <c r="K387" s="6">
        <v>0</v>
      </c>
      <c r="L387" s="414">
        <v>0</v>
      </c>
      <c r="M387" s="414"/>
      <c r="N387" s="414">
        <v>1</v>
      </c>
      <c r="O387" s="580"/>
    </row>
    <row r="388" spans="2:15" s="475" customFormat="1" x14ac:dyDescent="0.3">
      <c r="B388" s="138" t="s">
        <v>396</v>
      </c>
      <c r="C388" s="45" t="s">
        <v>238</v>
      </c>
      <c r="H388" s="190">
        <f>H386+(H387/1.4)</f>
        <v>111.85714285714286</v>
      </c>
      <c r="I388" s="475">
        <f>I386+(I387/1.4)</f>
        <v>0</v>
      </c>
      <c r="J388" s="475">
        <f>J386+(J387/1.4)</f>
        <v>1</v>
      </c>
      <c r="K388" s="475">
        <f>K386+(K387/1.4)</f>
        <v>0</v>
      </c>
      <c r="L388" s="414" t="s">
        <v>589</v>
      </c>
      <c r="M388" s="414"/>
      <c r="N388" s="414"/>
      <c r="O388" s="580"/>
    </row>
    <row r="389" spans="2:15" s="475" customFormat="1" x14ac:dyDescent="0.3">
      <c r="B389" s="9" t="s">
        <v>395</v>
      </c>
      <c r="C389" s="59" t="s">
        <v>239</v>
      </c>
      <c r="H389" s="475">
        <v>10</v>
      </c>
      <c r="I389" s="475">
        <v>0</v>
      </c>
      <c r="J389" s="475">
        <v>0</v>
      </c>
      <c r="K389" s="475">
        <v>8</v>
      </c>
      <c r="L389" s="414" t="s">
        <v>589</v>
      </c>
      <c r="M389" s="414"/>
      <c r="N389" s="414">
        <v>12</v>
      </c>
      <c r="O389" s="580"/>
    </row>
    <row r="390" spans="2:15" s="475" customFormat="1" x14ac:dyDescent="0.3">
      <c r="B390" s="9" t="s">
        <v>397</v>
      </c>
      <c r="C390" s="59" t="s">
        <v>239</v>
      </c>
      <c r="H390" s="475">
        <v>14</v>
      </c>
      <c r="I390" s="475">
        <v>0</v>
      </c>
      <c r="J390" s="475">
        <v>0</v>
      </c>
      <c r="K390" s="475">
        <v>0</v>
      </c>
      <c r="L390" s="414" t="s">
        <v>589</v>
      </c>
      <c r="M390" s="414"/>
      <c r="N390" s="414">
        <v>0</v>
      </c>
      <c r="O390" s="580"/>
    </row>
    <row r="391" spans="2:15" s="475" customFormat="1" x14ac:dyDescent="0.3">
      <c r="B391" s="9" t="s">
        <v>396</v>
      </c>
      <c r="C391" s="59" t="s">
        <v>239</v>
      </c>
      <c r="D391" s="6"/>
      <c r="E391" s="6"/>
      <c r="F391" s="6"/>
      <c r="G391" s="6"/>
      <c r="H391" s="6">
        <f>H389+(H390/1.4)</f>
        <v>20</v>
      </c>
      <c r="I391" s="6">
        <f>I389+(I390/1.4)</f>
        <v>0</v>
      </c>
      <c r="J391" s="475">
        <f>J389+(J390/1.4)</f>
        <v>0</v>
      </c>
      <c r="K391" s="475">
        <f>K389+(K390/1.4)</f>
        <v>8</v>
      </c>
      <c r="L391" s="414" t="s">
        <v>589</v>
      </c>
      <c r="M391" s="414"/>
      <c r="N391" s="414"/>
      <c r="O391" s="580"/>
    </row>
    <row r="392" spans="2:15" s="475" customFormat="1" x14ac:dyDescent="0.3">
      <c r="B392" s="138" t="s">
        <v>395</v>
      </c>
      <c r="C392" s="45" t="s">
        <v>240</v>
      </c>
      <c r="D392" s="6"/>
      <c r="E392" s="6"/>
      <c r="F392" s="6"/>
      <c r="G392" s="6"/>
      <c r="H392" s="6">
        <v>804</v>
      </c>
      <c r="I392" s="6">
        <v>1309</v>
      </c>
      <c r="J392" s="475">
        <v>1559</v>
      </c>
      <c r="K392" s="6">
        <v>1751</v>
      </c>
      <c r="L392" s="415">
        <v>2058</v>
      </c>
      <c r="M392" s="415">
        <v>1914</v>
      </c>
      <c r="N392" s="415"/>
      <c r="O392" s="415"/>
    </row>
    <row r="393" spans="2:15" s="475" customFormat="1" x14ac:dyDescent="0.3">
      <c r="B393" s="138" t="s">
        <v>397</v>
      </c>
      <c r="C393" s="45" t="s">
        <v>240</v>
      </c>
      <c r="H393" s="475">
        <v>1870</v>
      </c>
      <c r="I393" s="475">
        <v>1008</v>
      </c>
      <c r="J393" s="475">
        <v>363</v>
      </c>
      <c r="K393" s="6">
        <v>399</v>
      </c>
      <c r="L393" s="414">
        <v>127</v>
      </c>
      <c r="M393" s="414">
        <v>169</v>
      </c>
      <c r="N393" s="414"/>
      <c r="O393" s="580"/>
    </row>
    <row r="394" spans="2:15" s="475" customFormat="1" x14ac:dyDescent="0.3">
      <c r="B394" s="138" t="s">
        <v>396</v>
      </c>
      <c r="C394" s="45" t="s">
        <v>240</v>
      </c>
      <c r="H394" s="190">
        <f>H392+(H393/1.4)</f>
        <v>2139.7142857142858</v>
      </c>
      <c r="I394" s="475">
        <f>I392+(I393/1.4)</f>
        <v>2029</v>
      </c>
      <c r="J394" s="190">
        <f>J392+(J393/1.4)</f>
        <v>1818.2857142857142</v>
      </c>
      <c r="K394" s="190">
        <f>K392+(K393/1.4)</f>
        <v>2036</v>
      </c>
      <c r="L394" s="414" t="s">
        <v>589</v>
      </c>
      <c r="M394" s="414"/>
      <c r="N394" s="414"/>
      <c r="O394" s="580"/>
    </row>
    <row r="395" spans="2:15" s="475" customFormat="1" x14ac:dyDescent="0.3">
      <c r="B395" s="9" t="s">
        <v>395</v>
      </c>
      <c r="C395" s="59" t="s">
        <v>241</v>
      </c>
      <c r="D395" s="12"/>
      <c r="E395" s="12"/>
      <c r="F395" s="12"/>
      <c r="G395" s="12"/>
      <c r="H395" s="12">
        <v>0</v>
      </c>
      <c r="I395" s="12">
        <v>0</v>
      </c>
      <c r="J395" s="12">
        <v>0</v>
      </c>
      <c r="K395" s="12">
        <v>0</v>
      </c>
      <c r="L395" s="414" t="s">
        <v>589</v>
      </c>
      <c r="M395" s="414"/>
      <c r="N395" s="414">
        <v>7</v>
      </c>
      <c r="O395" s="580"/>
    </row>
    <row r="396" spans="2:15" s="475" customFormat="1" x14ac:dyDescent="0.3">
      <c r="B396" s="9" t="s">
        <v>397</v>
      </c>
      <c r="C396" s="59" t="s">
        <v>241</v>
      </c>
      <c r="D396" s="12"/>
      <c r="E396" s="12"/>
      <c r="F396" s="12"/>
      <c r="G396" s="12"/>
      <c r="H396" s="12">
        <v>0</v>
      </c>
      <c r="I396" s="12">
        <v>0</v>
      </c>
      <c r="J396" s="12">
        <v>0</v>
      </c>
      <c r="K396" s="12">
        <v>0</v>
      </c>
      <c r="L396" s="414" t="s">
        <v>589</v>
      </c>
      <c r="M396" s="414"/>
      <c r="N396" s="414">
        <v>0</v>
      </c>
      <c r="O396" s="580"/>
    </row>
    <row r="397" spans="2:15" s="475" customFormat="1" x14ac:dyDescent="0.3">
      <c r="B397" s="9" t="s">
        <v>396</v>
      </c>
      <c r="C397" s="59" t="s">
        <v>241</v>
      </c>
      <c r="D397" s="12"/>
      <c r="E397" s="12"/>
      <c r="F397" s="12"/>
      <c r="G397" s="12"/>
      <c r="H397" s="12">
        <f>H395+(H396/1.4)</f>
        <v>0</v>
      </c>
      <c r="I397" s="12">
        <f>I395+(I396/1.4)</f>
        <v>0</v>
      </c>
      <c r="J397" s="12">
        <f>J395+(J396/1.4)</f>
        <v>0</v>
      </c>
      <c r="K397" s="12">
        <v>0</v>
      </c>
      <c r="L397" s="414" t="s">
        <v>589</v>
      </c>
      <c r="M397" s="414"/>
      <c r="N397" s="414"/>
      <c r="O397" s="580"/>
    </row>
    <row r="398" spans="2:15" s="475" customFormat="1" x14ac:dyDescent="0.3">
      <c r="B398" s="138" t="s">
        <v>395</v>
      </c>
      <c r="C398" s="45" t="s">
        <v>183</v>
      </c>
      <c r="D398" s="6"/>
      <c r="E398" s="6"/>
      <c r="F398" s="6"/>
      <c r="G398" s="6"/>
      <c r="H398" s="6">
        <v>105</v>
      </c>
      <c r="I398" s="6">
        <v>91</v>
      </c>
      <c r="J398" s="475">
        <v>109</v>
      </c>
      <c r="K398" s="475">
        <v>65</v>
      </c>
      <c r="L398" s="415">
        <v>37</v>
      </c>
      <c r="M398" s="415">
        <v>57</v>
      </c>
      <c r="N398" s="415">
        <v>58</v>
      </c>
      <c r="O398" s="415"/>
    </row>
    <row r="399" spans="2:15" s="475" customFormat="1" x14ac:dyDescent="0.3">
      <c r="B399" s="138" t="s">
        <v>397</v>
      </c>
      <c r="C399" s="45" t="s">
        <v>183</v>
      </c>
      <c r="H399" s="475">
        <v>132</v>
      </c>
      <c r="I399" s="475">
        <v>5</v>
      </c>
      <c r="J399" s="475">
        <v>344</v>
      </c>
      <c r="K399" s="475">
        <v>0</v>
      </c>
      <c r="L399" s="414">
        <v>0</v>
      </c>
      <c r="M399" s="414">
        <v>0</v>
      </c>
      <c r="N399" s="414">
        <v>0</v>
      </c>
      <c r="O399" s="580"/>
    </row>
    <row r="400" spans="2:15" s="475" customFormat="1" x14ac:dyDescent="0.3">
      <c r="B400" s="138" t="s">
        <v>396</v>
      </c>
      <c r="C400" s="45" t="s">
        <v>183</v>
      </c>
      <c r="H400" s="190">
        <f>H398+(H399/1.4)</f>
        <v>199.28571428571428</v>
      </c>
      <c r="I400" s="190">
        <f>I398+(I399/1.4)</f>
        <v>94.571428571428569</v>
      </c>
      <c r="J400" s="190">
        <f>J398+(J399/1.4)</f>
        <v>354.71428571428572</v>
      </c>
      <c r="K400" s="190">
        <f>K398+(K399/1.4)</f>
        <v>65</v>
      </c>
      <c r="L400" s="414" t="s">
        <v>589</v>
      </c>
      <c r="M400" s="414"/>
      <c r="N400" s="414"/>
      <c r="O400" s="580"/>
    </row>
    <row r="401" spans="2:15" s="475" customFormat="1" x14ac:dyDescent="0.3">
      <c r="B401" s="9" t="s">
        <v>395</v>
      </c>
      <c r="C401" s="59" t="s">
        <v>184</v>
      </c>
      <c r="H401" s="475">
        <v>1</v>
      </c>
      <c r="I401" s="475">
        <v>53</v>
      </c>
      <c r="J401" s="475">
        <v>0</v>
      </c>
      <c r="K401" s="475">
        <v>19</v>
      </c>
      <c r="L401" s="414" t="s">
        <v>589</v>
      </c>
      <c r="M401" s="414">
        <v>121</v>
      </c>
      <c r="N401" s="414">
        <v>21</v>
      </c>
      <c r="O401" s="580"/>
    </row>
    <row r="402" spans="2:15" s="475" customFormat="1" x14ac:dyDescent="0.3">
      <c r="B402" s="9" t="s">
        <v>397</v>
      </c>
      <c r="C402" s="59" t="s">
        <v>184</v>
      </c>
      <c r="H402" s="475">
        <v>0</v>
      </c>
      <c r="I402" s="475">
        <v>35</v>
      </c>
      <c r="J402" s="475">
        <v>0</v>
      </c>
      <c r="K402" s="475">
        <v>0</v>
      </c>
      <c r="L402" s="414" t="s">
        <v>589</v>
      </c>
      <c r="M402" s="414">
        <v>0</v>
      </c>
      <c r="N402" s="414">
        <v>6</v>
      </c>
      <c r="O402" s="580"/>
    </row>
    <row r="403" spans="2:15" s="475" customFormat="1" x14ac:dyDescent="0.3">
      <c r="B403" s="9" t="s">
        <v>396</v>
      </c>
      <c r="C403" s="59" t="s">
        <v>184</v>
      </c>
      <c r="D403" s="6"/>
      <c r="E403" s="6"/>
      <c r="F403" s="6"/>
      <c r="G403" s="6"/>
      <c r="H403" s="6">
        <f>H401+(H402/1.4)</f>
        <v>1</v>
      </c>
      <c r="I403" s="6">
        <f>I401+(I402/1.4)</f>
        <v>78</v>
      </c>
      <c r="J403" s="475">
        <f>J401+(J402/1.4)</f>
        <v>0</v>
      </c>
      <c r="K403" s="475">
        <f>K401+(K402/1.4)</f>
        <v>19</v>
      </c>
      <c r="L403" s="414" t="s">
        <v>589</v>
      </c>
      <c r="M403" s="414"/>
      <c r="N403" s="414"/>
      <c r="O403" s="580"/>
    </row>
    <row r="404" spans="2:15" s="475" customFormat="1" x14ac:dyDescent="0.3">
      <c r="B404" s="138" t="s">
        <v>395</v>
      </c>
      <c r="C404" s="45" t="s">
        <v>185</v>
      </c>
      <c r="D404" s="12"/>
      <c r="E404" s="12"/>
      <c r="F404" s="12"/>
      <c r="G404" s="12"/>
      <c r="H404" s="12">
        <v>0</v>
      </c>
      <c r="I404" s="12">
        <v>0</v>
      </c>
      <c r="J404" s="12">
        <v>0</v>
      </c>
      <c r="K404" s="12">
        <v>0</v>
      </c>
      <c r="L404" s="414" t="s">
        <v>589</v>
      </c>
      <c r="M404" s="414"/>
      <c r="N404" s="414"/>
      <c r="O404" s="580"/>
    </row>
    <row r="405" spans="2:15" s="475" customFormat="1" x14ac:dyDescent="0.3">
      <c r="B405" s="138" t="s">
        <v>397</v>
      </c>
      <c r="C405" s="45" t="s">
        <v>185</v>
      </c>
      <c r="D405" s="12"/>
      <c r="E405" s="12"/>
      <c r="F405" s="12"/>
      <c r="G405" s="12"/>
      <c r="H405" s="12">
        <v>0</v>
      </c>
      <c r="I405" s="12">
        <v>0</v>
      </c>
      <c r="J405" s="12">
        <v>0</v>
      </c>
      <c r="K405" s="12">
        <v>0</v>
      </c>
      <c r="L405" s="414" t="s">
        <v>589</v>
      </c>
      <c r="M405" s="414"/>
      <c r="N405" s="414"/>
      <c r="O405" s="580"/>
    </row>
    <row r="406" spans="2:15" s="475" customFormat="1" x14ac:dyDescent="0.3">
      <c r="B406" s="138" t="s">
        <v>396</v>
      </c>
      <c r="C406" s="45" t="s">
        <v>185</v>
      </c>
      <c r="D406" s="12"/>
      <c r="E406" s="12"/>
      <c r="F406" s="12"/>
      <c r="G406" s="12"/>
      <c r="H406" s="12">
        <f>H404+(H405/1.4)</f>
        <v>0</v>
      </c>
      <c r="I406" s="12">
        <f>I404+(I405/1.4)</f>
        <v>0</v>
      </c>
      <c r="J406" s="12">
        <f>J404+(J405/1.4)</f>
        <v>0</v>
      </c>
      <c r="K406" s="12">
        <v>0</v>
      </c>
      <c r="L406" s="414" t="s">
        <v>589</v>
      </c>
      <c r="M406" s="414"/>
      <c r="N406" s="414"/>
      <c r="O406" s="580"/>
    </row>
    <row r="407" spans="2:15" s="475" customFormat="1" x14ac:dyDescent="0.3">
      <c r="B407" s="9" t="s">
        <v>395</v>
      </c>
      <c r="C407" s="59" t="s">
        <v>242</v>
      </c>
      <c r="H407" s="475">
        <v>74</v>
      </c>
      <c r="I407" s="475">
        <v>0</v>
      </c>
      <c r="J407" s="475">
        <v>0</v>
      </c>
      <c r="K407" s="475">
        <v>6</v>
      </c>
      <c r="L407" s="414" t="s">
        <v>589</v>
      </c>
      <c r="M407" s="414"/>
      <c r="N407" s="414"/>
      <c r="O407" s="580"/>
    </row>
    <row r="408" spans="2:15" s="475" customFormat="1" x14ac:dyDescent="0.3">
      <c r="B408" s="9" t="s">
        <v>397</v>
      </c>
      <c r="C408" s="59" t="s">
        <v>242</v>
      </c>
      <c r="H408" s="475">
        <v>465</v>
      </c>
      <c r="I408" s="475">
        <v>0</v>
      </c>
      <c r="J408" s="475">
        <v>0</v>
      </c>
      <c r="K408" s="475">
        <v>332</v>
      </c>
      <c r="L408" s="414" t="s">
        <v>589</v>
      </c>
      <c r="M408" s="414"/>
      <c r="N408" s="414"/>
      <c r="O408" s="580"/>
    </row>
    <row r="409" spans="2:15" s="475" customFormat="1" x14ac:dyDescent="0.3">
      <c r="B409" s="9" t="s">
        <v>396</v>
      </c>
      <c r="C409" s="59" t="s">
        <v>242</v>
      </c>
      <c r="D409" s="6"/>
      <c r="E409" s="6"/>
      <c r="F409" s="6"/>
      <c r="G409" s="6"/>
      <c r="H409" s="211">
        <f>H407+(H408/1.4)</f>
        <v>406.14285714285717</v>
      </c>
      <c r="I409" s="6">
        <f>I407+(I408/1.4)</f>
        <v>0</v>
      </c>
      <c r="J409" s="475">
        <f>J407+(J408/1.4)</f>
        <v>0</v>
      </c>
      <c r="K409" s="190">
        <f>K407+(K408/1.4)</f>
        <v>243.14285714285717</v>
      </c>
      <c r="L409" s="414" t="s">
        <v>589</v>
      </c>
      <c r="M409" s="414"/>
      <c r="N409" s="414"/>
      <c r="O409" s="580"/>
    </row>
    <row r="410" spans="2:15" s="475" customFormat="1" x14ac:dyDescent="0.3">
      <c r="B410" s="138" t="s">
        <v>395</v>
      </c>
      <c r="C410" s="45" t="s">
        <v>187</v>
      </c>
      <c r="D410" s="6"/>
      <c r="E410" s="6"/>
      <c r="F410" s="6"/>
      <c r="G410" s="6"/>
      <c r="H410" s="6">
        <v>14</v>
      </c>
      <c r="I410" s="6">
        <v>0</v>
      </c>
      <c r="J410" s="475">
        <v>20</v>
      </c>
      <c r="K410" s="6">
        <v>0</v>
      </c>
      <c r="L410" s="414" t="s">
        <v>589</v>
      </c>
      <c r="M410" s="414"/>
      <c r="N410" s="414">
        <v>131</v>
      </c>
      <c r="O410" s="580"/>
    </row>
    <row r="411" spans="2:15" s="475" customFormat="1" x14ac:dyDescent="0.3">
      <c r="B411" s="138" t="s">
        <v>397</v>
      </c>
      <c r="C411" s="45" t="s">
        <v>187</v>
      </c>
      <c r="H411" s="475">
        <v>27</v>
      </c>
      <c r="I411" s="6">
        <v>0</v>
      </c>
      <c r="J411" s="475">
        <v>0</v>
      </c>
      <c r="K411" s="6">
        <v>0</v>
      </c>
      <c r="L411" s="414" t="s">
        <v>589</v>
      </c>
      <c r="M411" s="414"/>
      <c r="N411" s="414">
        <v>16</v>
      </c>
      <c r="O411" s="580"/>
    </row>
    <row r="412" spans="2:15" s="475" customFormat="1" x14ac:dyDescent="0.3">
      <c r="B412" s="138" t="s">
        <v>396</v>
      </c>
      <c r="C412" s="45" t="s">
        <v>187</v>
      </c>
      <c r="H412" s="190">
        <f>H410+(H411/1.4)</f>
        <v>33.285714285714292</v>
      </c>
      <c r="I412" s="475">
        <v>0</v>
      </c>
      <c r="J412" s="475">
        <f>J410+(J411/1.4)</f>
        <v>20</v>
      </c>
      <c r="K412" s="6">
        <v>0</v>
      </c>
      <c r="L412" s="414" t="s">
        <v>589</v>
      </c>
      <c r="M412" s="414"/>
      <c r="N412" s="414"/>
      <c r="O412" s="580"/>
    </row>
    <row r="413" spans="2:15" s="475" customFormat="1" x14ac:dyDescent="0.3">
      <c r="B413" s="9" t="s">
        <v>395</v>
      </c>
      <c r="C413" s="59" t="s">
        <v>188</v>
      </c>
      <c r="D413" s="6"/>
      <c r="E413" s="6"/>
      <c r="F413" s="6"/>
      <c r="G413" s="6"/>
      <c r="H413" s="6">
        <v>0</v>
      </c>
      <c r="I413" s="6">
        <v>0</v>
      </c>
      <c r="J413" s="6">
        <v>0</v>
      </c>
      <c r="K413" s="6">
        <v>0</v>
      </c>
      <c r="L413" s="414">
        <v>23</v>
      </c>
      <c r="M413" s="414">
        <v>35</v>
      </c>
      <c r="N413" s="414">
        <v>30</v>
      </c>
      <c r="O413" s="580"/>
    </row>
    <row r="414" spans="2:15" s="475" customFormat="1" x14ac:dyDescent="0.3">
      <c r="B414" s="9" t="s">
        <v>397</v>
      </c>
      <c r="C414" s="59" t="s">
        <v>188</v>
      </c>
      <c r="D414" s="6"/>
      <c r="E414" s="6"/>
      <c r="F414" s="6"/>
      <c r="G414" s="6"/>
      <c r="H414" s="6">
        <v>0</v>
      </c>
      <c r="I414" s="6">
        <v>0</v>
      </c>
      <c r="J414" s="6">
        <v>0</v>
      </c>
      <c r="K414" s="6">
        <v>0</v>
      </c>
      <c r="L414" s="414">
        <v>0</v>
      </c>
      <c r="M414" s="414">
        <v>0</v>
      </c>
      <c r="N414" s="414">
        <v>0</v>
      </c>
      <c r="O414" s="580"/>
    </row>
    <row r="415" spans="2:15" s="475" customFormat="1" x14ac:dyDescent="0.3">
      <c r="B415" s="9" t="s">
        <v>396</v>
      </c>
      <c r="C415" s="59" t="s">
        <v>188</v>
      </c>
      <c r="D415" s="6"/>
      <c r="E415" s="6"/>
      <c r="F415" s="6"/>
      <c r="G415" s="6"/>
      <c r="H415" s="6">
        <f>H413+(H414/1.4)</f>
        <v>0</v>
      </c>
      <c r="I415" s="6">
        <v>0</v>
      </c>
      <c r="J415" s="6">
        <f>J413+(J414/1.4)</f>
        <v>0</v>
      </c>
      <c r="K415" s="6">
        <v>0</v>
      </c>
      <c r="L415" s="415" t="s">
        <v>589</v>
      </c>
      <c r="M415" s="415"/>
      <c r="N415" s="415"/>
      <c r="O415" s="415"/>
    </row>
    <row r="416" spans="2:15" s="475" customFormat="1" x14ac:dyDescent="0.3">
      <c r="B416" s="138" t="s">
        <v>395</v>
      </c>
      <c r="C416" s="45" t="s">
        <v>243</v>
      </c>
      <c r="D416" s="6"/>
      <c r="E416" s="6"/>
      <c r="F416" s="6"/>
      <c r="G416" s="6"/>
      <c r="H416" s="6">
        <v>19</v>
      </c>
      <c r="I416" s="6">
        <v>0</v>
      </c>
      <c r="J416" s="475">
        <v>0</v>
      </c>
      <c r="K416" s="6">
        <v>0</v>
      </c>
      <c r="L416" s="415" t="s">
        <v>589</v>
      </c>
      <c r="M416" s="415"/>
      <c r="N416" s="415"/>
      <c r="O416" s="415"/>
    </row>
    <row r="417" spans="2:19" s="475" customFormat="1" x14ac:dyDescent="0.3">
      <c r="B417" s="138" t="s">
        <v>397</v>
      </c>
      <c r="C417" s="45" t="s">
        <v>243</v>
      </c>
      <c r="H417" s="475">
        <v>38</v>
      </c>
      <c r="I417" s="6">
        <v>0</v>
      </c>
      <c r="J417" s="475">
        <v>0</v>
      </c>
      <c r="K417" s="6">
        <v>0</v>
      </c>
      <c r="L417" s="415" t="s">
        <v>589</v>
      </c>
      <c r="M417" s="415"/>
      <c r="N417" s="415"/>
      <c r="O417" s="415"/>
    </row>
    <row r="418" spans="2:19" s="475" customFormat="1" x14ac:dyDescent="0.3">
      <c r="B418" s="138" t="s">
        <v>396</v>
      </c>
      <c r="C418" s="45" t="s">
        <v>243</v>
      </c>
      <c r="H418" s="190">
        <f>H416+(H417/1.4)</f>
        <v>46.142857142857146</v>
      </c>
      <c r="I418" s="475">
        <v>0</v>
      </c>
      <c r="J418" s="475">
        <f>J416+(J417/1.4)</f>
        <v>0</v>
      </c>
      <c r="K418" s="6">
        <v>0</v>
      </c>
      <c r="L418" s="415" t="s">
        <v>589</v>
      </c>
      <c r="M418" s="415" t="s">
        <v>708</v>
      </c>
      <c r="N418" s="415"/>
      <c r="O418" s="415"/>
    </row>
    <row r="419" spans="2:19" s="475" customFormat="1" x14ac:dyDescent="0.3">
      <c r="B419" s="9" t="s">
        <v>395</v>
      </c>
      <c r="C419" s="59" t="s">
        <v>244</v>
      </c>
      <c r="H419" s="475">
        <v>0</v>
      </c>
      <c r="I419" s="475">
        <v>0</v>
      </c>
      <c r="J419" s="475">
        <v>0</v>
      </c>
      <c r="K419" s="6">
        <v>0</v>
      </c>
      <c r="L419" s="415" t="s">
        <v>589</v>
      </c>
      <c r="M419" s="415"/>
      <c r="N419" s="415">
        <v>20</v>
      </c>
      <c r="O419" s="415"/>
    </row>
    <row r="420" spans="2:19" s="475" customFormat="1" x14ac:dyDescent="0.3">
      <c r="B420" s="9" t="s">
        <v>397</v>
      </c>
      <c r="C420" s="59" t="s">
        <v>244</v>
      </c>
      <c r="H420" s="475">
        <v>0</v>
      </c>
      <c r="I420" s="475">
        <v>0</v>
      </c>
      <c r="J420" s="475">
        <v>0</v>
      </c>
      <c r="K420" s="6">
        <v>0</v>
      </c>
      <c r="L420" s="415" t="s">
        <v>589</v>
      </c>
      <c r="M420" s="415"/>
      <c r="N420" s="415">
        <v>0</v>
      </c>
      <c r="O420" s="415"/>
    </row>
    <row r="421" spans="2:19" s="475" customFormat="1" x14ac:dyDescent="0.3">
      <c r="B421" s="9" t="s">
        <v>396</v>
      </c>
      <c r="C421" s="59" t="s">
        <v>244</v>
      </c>
      <c r="D421" s="6"/>
      <c r="E421" s="6"/>
      <c r="F421" s="6"/>
      <c r="G421" s="6"/>
      <c r="H421" s="6">
        <v>0</v>
      </c>
      <c r="I421" s="6">
        <f>I419+(I420/1.4)</f>
        <v>0</v>
      </c>
      <c r="J421" s="475">
        <f>J419+(J420/1.4)</f>
        <v>0</v>
      </c>
      <c r="K421" s="6">
        <v>0</v>
      </c>
      <c r="L421" s="415" t="s">
        <v>589</v>
      </c>
      <c r="M421" s="415"/>
      <c r="N421" s="415"/>
      <c r="O421" s="415"/>
    </row>
    <row r="422" spans="2:19" s="475" customFormat="1" x14ac:dyDescent="0.3">
      <c r="B422" s="138" t="s">
        <v>395</v>
      </c>
      <c r="C422" s="45" t="s">
        <v>346</v>
      </c>
      <c r="D422" s="6"/>
      <c r="E422" s="6"/>
      <c r="F422" s="6"/>
      <c r="G422" s="6"/>
      <c r="H422" s="6">
        <v>0</v>
      </c>
      <c r="I422" s="6">
        <v>0</v>
      </c>
      <c r="J422" s="475">
        <v>0</v>
      </c>
      <c r="K422" s="6">
        <v>15</v>
      </c>
      <c r="L422" s="415" t="s">
        <v>589</v>
      </c>
      <c r="M422" s="415"/>
      <c r="N422" s="415"/>
      <c r="O422" s="415"/>
    </row>
    <row r="423" spans="2:19" s="475" customFormat="1" x14ac:dyDescent="0.3">
      <c r="B423" s="138" t="s">
        <v>397</v>
      </c>
      <c r="C423" s="45" t="s">
        <v>346</v>
      </c>
      <c r="H423" s="6">
        <v>0</v>
      </c>
      <c r="I423" s="6">
        <v>0</v>
      </c>
      <c r="J423" s="475">
        <v>0</v>
      </c>
      <c r="K423" s="475">
        <v>23</v>
      </c>
      <c r="L423" s="415" t="s">
        <v>589</v>
      </c>
      <c r="M423" s="415"/>
      <c r="N423" s="415"/>
      <c r="O423" s="415"/>
    </row>
    <row r="424" spans="2:19" s="475" customFormat="1" x14ac:dyDescent="0.3">
      <c r="B424" s="138" t="s">
        <v>396</v>
      </c>
      <c r="C424" s="45" t="s">
        <v>346</v>
      </c>
      <c r="H424" s="475">
        <v>0</v>
      </c>
      <c r="I424" s="475">
        <v>0</v>
      </c>
      <c r="J424" s="475">
        <f>J422+(J423/1.4)</f>
        <v>0</v>
      </c>
      <c r="K424" s="190">
        <f>K422+(K423/1.4)</f>
        <v>31.428571428571431</v>
      </c>
      <c r="L424" s="415" t="s">
        <v>589</v>
      </c>
      <c r="M424" s="415"/>
      <c r="N424" s="415"/>
      <c r="O424" s="415"/>
    </row>
    <row r="425" spans="2:19" s="475" customFormat="1" x14ac:dyDescent="0.3">
      <c r="B425" s="9" t="s">
        <v>395</v>
      </c>
      <c r="C425" s="27" t="s">
        <v>191</v>
      </c>
      <c r="H425" s="475">
        <v>0</v>
      </c>
      <c r="I425" s="475">
        <v>0</v>
      </c>
      <c r="J425" s="475">
        <v>0</v>
      </c>
      <c r="K425" s="475">
        <v>0</v>
      </c>
      <c r="L425" s="415" t="s">
        <v>589</v>
      </c>
      <c r="M425" s="415"/>
      <c r="N425" s="415"/>
      <c r="O425" s="415"/>
    </row>
    <row r="426" spans="2:19" s="475" customFormat="1" x14ac:dyDescent="0.3">
      <c r="B426" s="9" t="s">
        <v>397</v>
      </c>
      <c r="C426" s="27" t="s">
        <v>191</v>
      </c>
      <c r="H426" s="475">
        <v>0</v>
      </c>
      <c r="I426" s="475">
        <v>0</v>
      </c>
      <c r="J426" s="475">
        <v>0</v>
      </c>
      <c r="K426" s="475">
        <v>0</v>
      </c>
      <c r="L426" s="415" t="s">
        <v>589</v>
      </c>
      <c r="M426" s="415"/>
      <c r="N426" s="415"/>
      <c r="O426" s="415"/>
    </row>
    <row r="427" spans="2:19" s="475" customFormat="1" x14ac:dyDescent="0.3">
      <c r="B427" s="9" t="s">
        <v>396</v>
      </c>
      <c r="C427" s="27" t="s">
        <v>191</v>
      </c>
      <c r="D427" s="6"/>
      <c r="E427" s="6"/>
      <c r="F427" s="6"/>
      <c r="G427" s="6"/>
      <c r="H427" s="6">
        <v>0</v>
      </c>
      <c r="I427" s="6">
        <v>0</v>
      </c>
      <c r="J427" s="475">
        <f>J425+(J426/1.4)</f>
        <v>0</v>
      </c>
      <c r="K427" s="6">
        <v>0</v>
      </c>
      <c r="L427" s="415" t="s">
        <v>589</v>
      </c>
      <c r="M427" s="415"/>
      <c r="N427" s="415"/>
      <c r="O427" s="415"/>
    </row>
    <row r="428" spans="2:19" s="475" customFormat="1" x14ac:dyDescent="0.3">
      <c r="B428" s="138" t="s">
        <v>395</v>
      </c>
      <c r="C428" s="45" t="s">
        <v>245</v>
      </c>
      <c r="D428" s="6"/>
      <c r="E428" s="6"/>
      <c r="F428" s="6"/>
      <c r="G428" s="6"/>
      <c r="H428" s="6">
        <v>32</v>
      </c>
      <c r="I428" s="6">
        <v>27</v>
      </c>
      <c r="J428" s="475">
        <v>51</v>
      </c>
      <c r="K428" s="6">
        <v>109</v>
      </c>
      <c r="L428" s="415">
        <v>17</v>
      </c>
      <c r="M428" s="415">
        <v>144</v>
      </c>
      <c r="N428" s="415">
        <v>23</v>
      </c>
      <c r="O428" s="415"/>
    </row>
    <row r="429" spans="2:19" s="475" customFormat="1" x14ac:dyDescent="0.3">
      <c r="B429" s="138" t="s">
        <v>397</v>
      </c>
      <c r="C429" s="45" t="s">
        <v>245</v>
      </c>
      <c r="H429" s="475">
        <v>74</v>
      </c>
      <c r="I429" s="475">
        <v>0</v>
      </c>
      <c r="J429" s="475">
        <v>5</v>
      </c>
      <c r="K429" s="475">
        <v>0</v>
      </c>
      <c r="L429" s="414">
        <v>0</v>
      </c>
      <c r="M429" s="414">
        <v>0</v>
      </c>
      <c r="N429" s="414">
        <v>0</v>
      </c>
      <c r="O429" s="580"/>
    </row>
    <row r="430" spans="2:19" s="475" customFormat="1" x14ac:dyDescent="0.3">
      <c r="B430" s="138" t="s">
        <v>396</v>
      </c>
      <c r="C430" s="45" t="s">
        <v>245</v>
      </c>
      <c r="H430" s="190">
        <f>H428+(H429/1.4)</f>
        <v>84.857142857142861</v>
      </c>
      <c r="I430" s="190">
        <f>I428+(I429/1.4)</f>
        <v>27</v>
      </c>
      <c r="J430" s="190">
        <f>J428+(J429/1.4)</f>
        <v>54.571428571428569</v>
      </c>
      <c r="K430" s="190">
        <f>K428+(K429/1.4)</f>
        <v>109</v>
      </c>
      <c r="L430" s="414" t="s">
        <v>589</v>
      </c>
      <c r="M430" s="414"/>
      <c r="N430" s="414"/>
      <c r="O430" s="580"/>
    </row>
    <row r="431" spans="2:19" s="475" customFormat="1" x14ac:dyDescent="0.3">
      <c r="B431" s="222" t="s">
        <v>526</v>
      </c>
      <c r="C431" s="157"/>
      <c r="D431" s="157"/>
      <c r="E431" s="157"/>
      <c r="F431" s="157"/>
      <c r="G431" s="158"/>
      <c r="H431" s="158">
        <f>SUM(H430,H427,H424,H421,H418,H415,H412,H409,H406,H403,H400,H397,H394,H391,H389,H386,H389,H388,H386,H385,H382,H379,H376,H373,H370,H367,H364,H361,H358,H355,H352,H349)</f>
        <v>4129.7142857142853</v>
      </c>
      <c r="I431" s="158">
        <f>SUM(I430,I427,I424,I421,I418,I415,I412,I409,I406,I403,I400,I397,I394,I391,I389,I386,I389,I388,I386,I385,I382,I379,I376,I373,I370,I367,I364,I361,I358,I355,I352,I349)</f>
        <v>2693.4285714285711</v>
      </c>
      <c r="J431" s="158">
        <f>SUM(J430,J427,J424,J421,J418,J415,J412,J409,J406,J403,J400,J397,J394,J391,J389,J386,J389,J388,J386,J385,J382,J379,J376,J373,J370,J367,J364,J361,J358,J355,J352,J349)</f>
        <v>3255</v>
      </c>
      <c r="K431" s="158">
        <f>SUM(K430,K427,K424,K421,K418,K415,K412,K409,K406,K403,K400,K397,K394,K391,K389,K386,K389,K388,K386,K385,K382,K379,K376,K373,K370,K367,K364,K361,K358,K355,K352,K349)</f>
        <v>3531.7142857142858</v>
      </c>
      <c r="L431" s="417">
        <v>3645</v>
      </c>
      <c r="M431" s="417">
        <v>3280</v>
      </c>
      <c r="N431" s="417">
        <v>3041</v>
      </c>
      <c r="O431" s="417"/>
      <c r="P431" s="157"/>
      <c r="Q431" s="157"/>
      <c r="R431" s="157"/>
      <c r="S431" s="157"/>
    </row>
    <row r="432" spans="2:19" s="475" customFormat="1" x14ac:dyDescent="0.3">
      <c r="B432" s="157" t="s">
        <v>527</v>
      </c>
      <c r="C432" s="157"/>
      <c r="D432" s="157"/>
      <c r="E432" s="157"/>
      <c r="F432" s="157"/>
      <c r="G432" s="158"/>
      <c r="H432" s="158"/>
      <c r="I432" s="158"/>
      <c r="J432" s="158"/>
      <c r="K432" s="158">
        <v>3515</v>
      </c>
      <c r="L432" s="417">
        <v>3969</v>
      </c>
      <c r="M432" s="417">
        <v>3614</v>
      </c>
      <c r="N432" s="417">
        <v>3463</v>
      </c>
      <c r="O432" s="580"/>
    </row>
    <row r="433" spans="1:19" s="475" customFormat="1" ht="129.6" x14ac:dyDescent="0.3">
      <c r="B433" s="157"/>
      <c r="C433" s="157"/>
      <c r="D433" s="157"/>
      <c r="E433" s="157"/>
      <c r="F433" s="157"/>
      <c r="G433" s="158"/>
      <c r="H433" s="158"/>
      <c r="I433" s="158"/>
      <c r="J433" s="158"/>
      <c r="K433" s="158"/>
      <c r="L433" s="580"/>
      <c r="M433" s="601" t="s">
        <v>777</v>
      </c>
      <c r="N433" s="600" t="s">
        <v>778</v>
      </c>
      <c r="O433" s="580"/>
    </row>
    <row r="434" spans="1:19" s="475" customFormat="1" x14ac:dyDescent="0.3">
      <c r="B434" s="157"/>
      <c r="C434" s="157"/>
      <c r="D434" s="157"/>
      <c r="E434" s="157"/>
      <c r="F434" s="157"/>
      <c r="G434" s="158"/>
      <c r="H434" s="158"/>
      <c r="I434" s="158"/>
      <c r="J434" s="158"/>
      <c r="K434" s="599" t="s">
        <v>774</v>
      </c>
      <c r="L434" s="580"/>
      <c r="M434" s="580"/>
      <c r="N434" s="580"/>
      <c r="O434" s="580"/>
    </row>
    <row r="435" spans="1:19" s="157" customFormat="1" ht="23.4" x14ac:dyDescent="0.45">
      <c r="B435" s="30" t="s">
        <v>400</v>
      </c>
      <c r="C435" s="30"/>
      <c r="D435" s="5"/>
      <c r="E435" s="5"/>
      <c r="F435" s="5"/>
      <c r="G435" s="5"/>
      <c r="H435" s="5"/>
      <c r="I435" s="5"/>
      <c r="J435" s="5"/>
      <c r="K435" s="5"/>
      <c r="L435" s="5"/>
      <c r="M435" s="5"/>
      <c r="N435" s="5"/>
      <c r="O435" s="5"/>
      <c r="P435" s="475"/>
      <c r="Q435" s="475"/>
      <c r="R435" s="475"/>
      <c r="S435" s="475"/>
    </row>
    <row r="436" spans="1:19" s="475" customFormat="1" x14ac:dyDescent="0.3">
      <c r="B436" s="32"/>
      <c r="C436" s="32"/>
      <c r="D436" s="39">
        <v>2007</v>
      </c>
      <c r="E436" s="39">
        <v>2008</v>
      </c>
      <c r="F436" s="39">
        <v>2009</v>
      </c>
      <c r="G436" s="39">
        <v>2010</v>
      </c>
      <c r="H436" s="39">
        <v>2011</v>
      </c>
      <c r="I436" s="39">
        <v>2012</v>
      </c>
      <c r="J436" s="39">
        <v>2013</v>
      </c>
      <c r="K436" s="39">
        <v>2014</v>
      </c>
      <c r="L436" s="39">
        <v>2015</v>
      </c>
      <c r="M436" s="39">
        <v>2016</v>
      </c>
      <c r="N436" s="39">
        <v>2017</v>
      </c>
      <c r="O436" s="39"/>
    </row>
    <row r="437" spans="1:19" s="475" customFormat="1" x14ac:dyDescent="0.3">
      <c r="B437" s="11" t="s">
        <v>10</v>
      </c>
      <c r="C437" s="11"/>
      <c r="D437" s="21"/>
      <c r="E437" s="21"/>
      <c r="F437" s="21"/>
      <c r="G437" s="21"/>
      <c r="H437" s="21"/>
      <c r="I437" s="21"/>
      <c r="J437" s="21"/>
      <c r="K437" s="21"/>
      <c r="L437" s="21"/>
      <c r="M437" s="21"/>
      <c r="N437" s="21"/>
      <c r="O437" s="21"/>
    </row>
    <row r="438" spans="1:19" s="475" customFormat="1" x14ac:dyDescent="0.3">
      <c r="A438" s="475">
        <v>1</v>
      </c>
      <c r="B438" s="9" t="s">
        <v>416</v>
      </c>
      <c r="C438" s="59" t="s">
        <v>233</v>
      </c>
      <c r="D438" s="10"/>
      <c r="E438" s="40"/>
      <c r="F438" s="40"/>
      <c r="G438" s="149">
        <f>G483/'[1]Bevs(2000-2015)'!N212</f>
        <v>2.4917739513784622E-3</v>
      </c>
      <c r="H438" s="149">
        <f>H483/'[1]Bevs(2000-2015)'!O212</f>
        <v>2.4223425477343973E-2</v>
      </c>
      <c r="I438" s="149">
        <f>I483/'[1]Bevs(2000-2015)'!P212</f>
        <v>3.6185052469925774E-2</v>
      </c>
      <c r="J438" s="149">
        <f>J483/'[1]Bevs(2000-2015)'!Q212</f>
        <v>5.5503353530116969E-2</v>
      </c>
      <c r="K438" s="149">
        <f>K483/'[1]Bevs(2000-2015)'!R212</f>
        <v>5.4961782614328283E-2</v>
      </c>
      <c r="L438" s="475">
        <v>7.9000000000000001E-2</v>
      </c>
      <c r="M438" s="475">
        <v>9.1999999999999998E-2</v>
      </c>
      <c r="N438" s="427">
        <v>8.8319999999999996E-2</v>
      </c>
    </row>
    <row r="439" spans="1:19" s="475" customFormat="1" x14ac:dyDescent="0.3">
      <c r="A439" s="475">
        <v>2</v>
      </c>
      <c r="B439" s="44" t="s">
        <v>416</v>
      </c>
      <c r="C439" s="45" t="s">
        <v>234</v>
      </c>
      <c r="D439" s="19"/>
      <c r="E439" s="47"/>
      <c r="F439" s="47"/>
      <c r="G439" s="150">
        <f>G484/'[1]Bevs(2000-2015)'!N215</f>
        <v>7.0867747527276438E-3</v>
      </c>
      <c r="H439" s="150">
        <f>H484/'[1]Bevs(2000-2015)'!O215</f>
        <v>2.8367372509710564E-2</v>
      </c>
      <c r="I439" s="150">
        <f>I484/'[1]Bevs(2000-2015)'!P215</f>
        <v>3.0583410437870415E-2</v>
      </c>
      <c r="J439" s="150">
        <f>J484/'[1]Bevs(2000-2015)'!Q215</f>
        <v>3.8361703189736931E-2</v>
      </c>
      <c r="K439" s="150">
        <f>K484/'[1]Bevs(2000-2015)'!R215</f>
        <v>4.4395473791071387E-2</v>
      </c>
      <c r="L439" s="475">
        <v>0.08</v>
      </c>
      <c r="M439" s="475">
        <v>9.2999999999999999E-2</v>
      </c>
      <c r="N439" s="427">
        <v>5.9159999999999997E-2</v>
      </c>
    </row>
    <row r="440" spans="1:19" s="475" customFormat="1" x14ac:dyDescent="0.3">
      <c r="A440" s="475">
        <v>3</v>
      </c>
      <c r="B440" s="9" t="s">
        <v>416</v>
      </c>
      <c r="C440" s="59" t="s">
        <v>168</v>
      </c>
      <c r="D440" s="10"/>
      <c r="E440" s="40"/>
      <c r="F440" s="40"/>
      <c r="G440" s="149">
        <f>G485/'[1]Bevs(2000-2015)'!N218</f>
        <v>2.3434238707829149E-2</v>
      </c>
      <c r="H440" s="149">
        <f>H485/'[1]Bevs(2000-2015)'!O218</f>
        <v>9.8293946120033074E-2</v>
      </c>
      <c r="I440" s="149">
        <f>I485/'[1]Bevs(2000-2015)'!P218</f>
        <v>0.13479881279900252</v>
      </c>
      <c r="J440" s="149">
        <f>J485/'[1]Bevs(2000-2015)'!Q218</f>
        <v>0.13586521756696698</v>
      </c>
      <c r="K440" s="149">
        <f>K485/'[1]Bevs(2000-2015)'!R218</f>
        <v>0.15068610841882282</v>
      </c>
      <c r="L440" s="475">
        <v>0.16500000000000001</v>
      </c>
      <c r="M440" s="475">
        <v>0.17799999999999999</v>
      </c>
      <c r="N440" s="427">
        <v>0.17177000000000001</v>
      </c>
    </row>
    <row r="441" spans="1:19" s="475" customFormat="1" x14ac:dyDescent="0.3">
      <c r="A441" s="475">
        <v>4</v>
      </c>
      <c r="B441" s="44" t="s">
        <v>416</v>
      </c>
      <c r="C441" s="45" t="s">
        <v>169</v>
      </c>
      <c r="D441" s="19"/>
      <c r="E441" s="47"/>
      <c r="F441" s="47"/>
      <c r="G441" s="150">
        <f>G486/'[1]Bevs(2000-2015)'!N221</f>
        <v>7.7987541014789101E-3</v>
      </c>
      <c r="H441" s="150">
        <f>H486/'[1]Bevs(2000-2015)'!O221</f>
        <v>2.1132766844615725E-2</v>
      </c>
      <c r="I441" s="150">
        <f>I486/'[1]Bevs(2000-2015)'!P221</f>
        <v>3.0146930624019273E-2</v>
      </c>
      <c r="J441" s="150">
        <f>J486/'[1]Bevs(2000-2015)'!Q221</f>
        <v>4.2696986562773313E-2</v>
      </c>
      <c r="K441" s="150">
        <f>K486/'[1]Bevs(2000-2015)'!R221</f>
        <v>4.3003596837318372E-2</v>
      </c>
      <c r="L441" s="475">
        <v>6.0999999999999999E-2</v>
      </c>
      <c r="M441" s="475">
        <v>7.1999999999999995E-2</v>
      </c>
      <c r="N441" s="427">
        <v>8.1989999999999993E-2</v>
      </c>
    </row>
    <row r="442" spans="1:19" s="475" customFormat="1" x14ac:dyDescent="0.3">
      <c r="A442" s="475">
        <v>5</v>
      </c>
      <c r="B442" s="9" t="s">
        <v>416</v>
      </c>
      <c r="C442" s="59" t="s">
        <v>170</v>
      </c>
      <c r="D442" s="10"/>
      <c r="E442" s="40"/>
      <c r="F442" s="40"/>
      <c r="G442" s="149">
        <f>G487/'[1]Bevs(2000-2015)'!N224</f>
        <v>0</v>
      </c>
      <c r="H442" s="149">
        <f>H487/'[1]Bevs(2000-2015)'!O224</f>
        <v>5.9505645407384802E-2</v>
      </c>
      <c r="I442" s="149">
        <f>I487/'[1]Bevs(2000-2015)'!P224</f>
        <v>3.1722054380664652E-2</v>
      </c>
      <c r="J442" s="149">
        <f>J487/'[1]Bevs(2000-2015)'!Q224</f>
        <v>5.7922157523751149E-2</v>
      </c>
      <c r="K442" s="149">
        <f>K487/'[1]Bevs(2000-2015)'!R224</f>
        <v>3.7654320987654324E-2</v>
      </c>
      <c r="L442" s="475">
        <v>1.4E-2</v>
      </c>
      <c r="M442" s="475">
        <v>4.2999999999999997E-2</v>
      </c>
      <c r="N442" s="427">
        <v>1.7420000000000001E-2</v>
      </c>
    </row>
    <row r="443" spans="1:19" s="475" customFormat="1" x14ac:dyDescent="0.3">
      <c r="A443" s="475">
        <v>6</v>
      </c>
      <c r="B443" s="44" t="s">
        <v>416</v>
      </c>
      <c r="C443" s="45" t="s">
        <v>171</v>
      </c>
      <c r="D443" s="19"/>
      <c r="E443" s="47"/>
      <c r="F443" s="47"/>
      <c r="G443" s="150">
        <f>G488/'[1]Bevs(2000-2015)'!N227</f>
        <v>1.431218235284119E-2</v>
      </c>
      <c r="H443" s="150">
        <f>H488/'[1]Bevs(2000-2015)'!O227</f>
        <v>4.4825201949508404E-2</v>
      </c>
      <c r="I443" s="150">
        <f>I488/'[1]Bevs(2000-2015)'!P227</f>
        <v>5.9848612279226242E-2</v>
      </c>
      <c r="J443" s="150">
        <f>J488/'[1]Bevs(2000-2015)'!Q227</f>
        <v>8.869243074850551E-2</v>
      </c>
      <c r="K443" s="150">
        <f>K488/'[1]Bevs(2000-2015)'!R227</f>
        <v>9.0763667871961079E-2</v>
      </c>
      <c r="L443" s="475">
        <v>0.12</v>
      </c>
      <c r="M443" s="475">
        <v>0.126</v>
      </c>
      <c r="N443" s="427">
        <v>0.1135</v>
      </c>
    </row>
    <row r="444" spans="1:19" s="475" customFormat="1" x14ac:dyDescent="0.3">
      <c r="A444" s="475">
        <v>7</v>
      </c>
      <c r="B444" s="9" t="s">
        <v>416</v>
      </c>
      <c r="C444" s="59" t="s">
        <v>172</v>
      </c>
      <c r="D444" s="10"/>
      <c r="E444" s="40"/>
      <c r="F444" s="40"/>
      <c r="G444" s="149">
        <f>G489/'[1]Bevs(2000-2015)'!N230</f>
        <v>0.10758500340233114</v>
      </c>
      <c r="H444" s="149">
        <f>H489/'[1]Bevs(2000-2015)'!O230</f>
        <v>0.13043193966902969</v>
      </c>
      <c r="I444" s="149">
        <f>I489/'[1]Bevs(2000-2015)'!P230</f>
        <v>0.11426007223027183</v>
      </c>
      <c r="J444" s="149">
        <f>J489/'[1]Bevs(2000-2015)'!Q230</f>
        <v>9.5265241147872479E-2</v>
      </c>
      <c r="K444" s="149">
        <f>K489/'[1]Bevs(2000-2015)'!R230</f>
        <v>0.1279736276275959</v>
      </c>
      <c r="L444" s="475">
        <v>0.13300000000000001</v>
      </c>
      <c r="M444" s="475">
        <v>0.152</v>
      </c>
      <c r="N444" s="427">
        <v>0.15495</v>
      </c>
    </row>
    <row r="445" spans="1:19" s="475" customFormat="1" x14ac:dyDescent="0.3">
      <c r="A445" s="475">
        <v>8</v>
      </c>
      <c r="B445" s="44" t="s">
        <v>416</v>
      </c>
      <c r="C445" s="45" t="s">
        <v>235</v>
      </c>
      <c r="D445" s="19"/>
      <c r="E445" s="47"/>
      <c r="F445" s="47"/>
      <c r="G445" s="150">
        <f>G490/'[1]Bevs(2000-2015)'!N233</f>
        <v>1.650255466593583E-2</v>
      </c>
      <c r="H445" s="150">
        <f>H490/'[1]Bevs(2000-2015)'!O233</f>
        <v>3.1248780106960222E-2</v>
      </c>
      <c r="I445" s="150">
        <f>I490/'[1]Bevs(2000-2015)'!P233</f>
        <v>4.8172724959383011E-2</v>
      </c>
      <c r="J445" s="150">
        <f>J490/'[1]Bevs(2000-2015)'!Q233</f>
        <v>7.0892230478169657E-2</v>
      </c>
      <c r="K445" s="150">
        <f>K490/'[1]Bevs(2000-2015)'!R233</f>
        <v>5.4104153391646877E-2</v>
      </c>
      <c r="L445" s="475">
        <v>0.114</v>
      </c>
      <c r="M445" s="475">
        <v>6.9000000000000006E-2</v>
      </c>
      <c r="N445" s="427">
        <v>6.9589999999999999E-2</v>
      </c>
    </row>
    <row r="446" spans="1:19" s="475" customFormat="1" x14ac:dyDescent="0.3">
      <c r="A446" s="475">
        <v>9</v>
      </c>
      <c r="B446" s="9" t="s">
        <v>416</v>
      </c>
      <c r="C446" s="27" t="s">
        <v>345</v>
      </c>
      <c r="D446" s="10"/>
      <c r="E446" s="40"/>
      <c r="F446" s="40"/>
      <c r="G446" s="397">
        <f>G491/('[1]Bevs(2000-2015)'!N239+'[1]Bevs(2000-2015)'!N293)</f>
        <v>9.3671804507781172E-3</v>
      </c>
      <c r="H446" s="149">
        <f>H491/'[1]Bevs(2000-2015)'!O239</f>
        <v>4.213173541145971E-2</v>
      </c>
      <c r="I446" s="149">
        <f>I491/'[1]Bevs(2000-2015)'!P239</f>
        <v>8.3970294113087027E-2</v>
      </c>
      <c r="J446" s="149">
        <f>J491/'[1]Bevs(2000-2015)'!Q239</f>
        <v>7.7900912646675355E-2</v>
      </c>
      <c r="K446" s="149">
        <f>K491/'[1]Bevs(2000-2015)'!R239</f>
        <v>7.4490632590231906E-2</v>
      </c>
      <c r="L446" s="475">
        <v>0.111</v>
      </c>
      <c r="M446" s="475">
        <v>0.124</v>
      </c>
      <c r="N446" s="427">
        <v>0.14757999999999999</v>
      </c>
    </row>
    <row r="447" spans="1:19" s="475" customFormat="1" x14ac:dyDescent="0.3">
      <c r="A447" s="475">
        <v>10</v>
      </c>
      <c r="B447" s="9" t="s">
        <v>416</v>
      </c>
      <c r="C447" s="45" t="s">
        <v>175</v>
      </c>
      <c r="D447" s="19"/>
      <c r="E447" s="47"/>
      <c r="F447" s="47"/>
      <c r="G447" s="150">
        <f>G492/'[1]Bevs(2000-2015)'!N242</f>
        <v>6.0801894355166928E-3</v>
      </c>
      <c r="H447" s="150">
        <f>H492/'[1]Bevs(2000-2015)'!O242</f>
        <v>9.7122169724489171E-2</v>
      </c>
      <c r="I447" s="150">
        <f>I492/'[1]Bevs(2000-2015)'!P242</f>
        <v>8.172185593085074E-2</v>
      </c>
      <c r="J447" s="150">
        <f>J492/'[1]Bevs(2000-2015)'!Q242</f>
        <v>0.13241651257056786</v>
      </c>
      <c r="K447" s="150">
        <f>K492/'[1]Bevs(2000-2015)'!R242</f>
        <v>7.9434999453929886E-2</v>
      </c>
      <c r="L447" s="475">
        <v>0.104</v>
      </c>
      <c r="M447" s="475">
        <v>0.124</v>
      </c>
      <c r="N447" s="427">
        <v>0.25108000000000003</v>
      </c>
    </row>
    <row r="448" spans="1:19" s="475" customFormat="1" x14ac:dyDescent="0.3">
      <c r="A448" s="475">
        <v>11</v>
      </c>
      <c r="B448" s="44" t="s">
        <v>416</v>
      </c>
      <c r="C448" s="59" t="s">
        <v>176</v>
      </c>
      <c r="D448" s="10"/>
      <c r="E448" s="40"/>
      <c r="F448" s="40"/>
      <c r="G448" s="149">
        <f>G493/'[1]Bevs(2000-2015)'!N245</f>
        <v>1.2704804221049708E-2</v>
      </c>
      <c r="H448" s="149">
        <f>H493/'[1]Bevs(2000-2015)'!O245</f>
        <v>3.3010281038159471E-2</v>
      </c>
      <c r="I448" s="149">
        <f>I493/'[1]Bevs(2000-2015)'!P245</f>
        <v>4.1399124249294726E-2</v>
      </c>
      <c r="J448" s="149">
        <f>J493/'[1]Bevs(2000-2015)'!Q245</f>
        <v>6.8717254779501052E-2</v>
      </c>
      <c r="K448" s="149">
        <f>K493/'[1]Bevs(2000-2015)'!R245</f>
        <v>7.6783961142975254E-2</v>
      </c>
      <c r="L448" s="475">
        <v>9.2999999999999999E-2</v>
      </c>
      <c r="M448" s="475">
        <v>8.1000000000000003E-2</v>
      </c>
      <c r="N448" s="427">
        <v>9.4350000000000003E-2</v>
      </c>
    </row>
    <row r="449" spans="1:29" s="475" customFormat="1" x14ac:dyDescent="0.3">
      <c r="A449" s="475">
        <v>12</v>
      </c>
      <c r="B449" s="9" t="s">
        <v>416</v>
      </c>
      <c r="C449" s="45" t="s">
        <v>237</v>
      </c>
      <c r="D449" s="19"/>
      <c r="E449" s="47"/>
      <c r="F449" s="47"/>
      <c r="G449" s="150">
        <f>G494/'[1]Bevs(2000-2015)'!N251</f>
        <v>1.2101938017587296E-2</v>
      </c>
      <c r="H449" s="150">
        <f>H494/'[1]Bevs(2000-2015)'!O251</f>
        <v>2.9514203244325625E-2</v>
      </c>
      <c r="I449" s="150">
        <f>I494/'[1]Bevs(2000-2015)'!P251</f>
        <v>4.8891682022986549E-2</v>
      </c>
      <c r="J449" s="150">
        <f>J494/'[1]Bevs(2000-2015)'!Q251</f>
        <v>6.1066108946524686E-2</v>
      </c>
      <c r="K449" s="150">
        <f>K494/'[1]Bevs(2000-2015)'!R251</f>
        <v>2.7860537134924448E-2</v>
      </c>
      <c r="L449" s="475">
        <v>6.0999999999999999E-2</v>
      </c>
      <c r="M449" s="475">
        <v>9.9000000000000005E-2</v>
      </c>
      <c r="N449" s="427">
        <v>0.10166</v>
      </c>
    </row>
    <row r="450" spans="1:29" s="475" customFormat="1" x14ac:dyDescent="0.3">
      <c r="A450" s="475">
        <v>13</v>
      </c>
      <c r="B450" s="44" t="s">
        <v>416</v>
      </c>
      <c r="C450" s="59" t="s">
        <v>178</v>
      </c>
      <c r="D450" s="10"/>
      <c r="E450" s="40"/>
      <c r="F450" s="40"/>
      <c r="G450" s="149">
        <f>G495/'[1]Bevs(2000-2015)'!N248</f>
        <v>1.3844327288660231E-2</v>
      </c>
      <c r="H450" s="149">
        <f>H495/'[1]Bevs(2000-2015)'!O248</f>
        <v>4.135538296261073E-2</v>
      </c>
      <c r="I450" s="149">
        <f>I495/'[1]Bevs(2000-2015)'!P248</f>
        <v>4.3217657861379044E-2</v>
      </c>
      <c r="J450" s="149">
        <f>J495/'[1]Bevs(2000-2015)'!Q248</f>
        <v>5.2167398424977349E-2</v>
      </c>
      <c r="K450" s="149">
        <f>K495/'[1]Bevs(2000-2015)'!R248</f>
        <v>0.1077136780263404</v>
      </c>
      <c r="L450" s="475">
        <v>0.42199999999999999</v>
      </c>
      <c r="M450" s="475">
        <v>0.22</v>
      </c>
      <c r="N450" s="427">
        <v>0.23982999999999999</v>
      </c>
    </row>
    <row r="451" spans="1:29" s="475" customFormat="1" x14ac:dyDescent="0.3">
      <c r="A451" s="475">
        <v>14</v>
      </c>
      <c r="B451" s="9" t="s">
        <v>416</v>
      </c>
      <c r="C451" s="45" t="s">
        <v>238</v>
      </c>
      <c r="D451" s="19"/>
      <c r="E451" s="47"/>
      <c r="F451" s="47"/>
      <c r="G451" s="150">
        <f>G496/'[1]Bevs(2000-2015)'!N254</f>
        <v>2.7743607192399298E-3</v>
      </c>
      <c r="H451" s="150">
        <f>H496/'[1]Bevs(2000-2015)'!O254</f>
        <v>2.7478589817685074E-2</v>
      </c>
      <c r="I451" s="150">
        <f>I496/'[1]Bevs(2000-2015)'!P254</f>
        <v>7.6060077569825857E-2</v>
      </c>
      <c r="J451" s="150">
        <f>J496/'[1]Bevs(2000-2015)'!Q254</f>
        <v>0.11026959960710316</v>
      </c>
      <c r="K451" s="150">
        <f>K496/'[1]Bevs(2000-2015)'!R254</f>
        <v>4.0159309658148026E-2</v>
      </c>
      <c r="L451" s="475">
        <v>7.0999999999999994E-2</v>
      </c>
      <c r="M451" s="475">
        <v>7.3999999999999996E-2</v>
      </c>
      <c r="N451" s="427">
        <v>8.1280000000000005E-2</v>
      </c>
    </row>
    <row r="452" spans="1:29" s="475" customFormat="1" x14ac:dyDescent="0.3">
      <c r="A452" s="475">
        <v>15</v>
      </c>
      <c r="B452" s="44" t="s">
        <v>416</v>
      </c>
      <c r="C452" s="59" t="s">
        <v>239</v>
      </c>
      <c r="D452" s="10"/>
      <c r="E452" s="40"/>
      <c r="F452" s="40"/>
      <c r="G452" s="149">
        <f>G497/'[1]Bevs(2000-2015)'!N257</f>
        <v>1.9159535061949162E-3</v>
      </c>
      <c r="H452" s="149">
        <f>H497/'[1]Bevs(2000-2015)'!O257</f>
        <v>0.15272750365148918</v>
      </c>
      <c r="I452" s="149">
        <f>I497/'[1]Bevs(2000-2015)'!P257</f>
        <v>0.32405063291139241</v>
      </c>
      <c r="J452" s="149">
        <f>J497/'[1]Bevs(2000-2015)'!Q257</f>
        <v>0.12662369531786802</v>
      </c>
      <c r="K452" s="149">
        <f>K497/'[1]Bevs(2000-2015)'!R257</f>
        <v>0.19652225558451844</v>
      </c>
      <c r="L452" s="475">
        <v>0.442</v>
      </c>
      <c r="M452" s="475">
        <v>1.8660000000000001</v>
      </c>
      <c r="N452" s="427">
        <v>0.48636000000000001</v>
      </c>
    </row>
    <row r="453" spans="1:29" s="475" customFormat="1" x14ac:dyDescent="0.3">
      <c r="A453" s="475">
        <v>16</v>
      </c>
      <c r="B453" s="9" t="s">
        <v>416</v>
      </c>
      <c r="C453" s="45" t="s">
        <v>240</v>
      </c>
      <c r="D453" s="19"/>
      <c r="E453" s="47"/>
      <c r="F453" s="47"/>
      <c r="G453" s="150">
        <f>G498/'[1]Bevs(2000-2015)'!N260</f>
        <v>3.0441837270676099E-2</v>
      </c>
      <c r="H453" s="150">
        <f>H498/'[1]Bevs(2000-2015)'!O260</f>
        <v>8.699780070854353E-2</v>
      </c>
      <c r="I453" s="150">
        <f>I498/'[1]Bevs(2000-2015)'!P260</f>
        <v>7.1533195020746884E-2</v>
      </c>
      <c r="J453" s="150">
        <f>J498/'[1]Bevs(2000-2015)'!Q260</f>
        <v>8.9971604074995368E-2</v>
      </c>
      <c r="K453" s="150">
        <f>K498/'[1]Bevs(2000-2015)'!R260</f>
        <v>0.10085230200762048</v>
      </c>
      <c r="L453" s="475">
        <v>0.115</v>
      </c>
      <c r="M453" s="475">
        <v>0.11600000000000001</v>
      </c>
      <c r="N453" s="427">
        <v>0.11003</v>
      </c>
    </row>
    <row r="454" spans="1:29" s="475" customFormat="1" x14ac:dyDescent="0.3">
      <c r="A454" s="475">
        <v>17</v>
      </c>
      <c r="B454" s="44" t="s">
        <v>416</v>
      </c>
      <c r="C454" s="59" t="s">
        <v>241</v>
      </c>
      <c r="D454" s="10"/>
      <c r="E454" s="40"/>
      <c r="F454" s="40"/>
      <c r="G454" s="149">
        <f>G499/'[1]Bevs(2000-2015)'!N263</f>
        <v>0</v>
      </c>
      <c r="H454" s="149">
        <f>H499/'[1]Bevs(2000-2015)'!O263</f>
        <v>5.206555138272448E-3</v>
      </c>
      <c r="I454" s="149">
        <f>I499/'[1]Bevs(2000-2015)'!P263</f>
        <v>4.5689655172413794E-3</v>
      </c>
      <c r="J454" s="149">
        <f>J499/'[1]Bevs(2000-2015)'!Q263</f>
        <v>2.269197584124245E-2</v>
      </c>
      <c r="K454" s="149">
        <f>K499/'[1]Bevs(2000-2015)'!R263</f>
        <v>3.6014926668402329E-2</v>
      </c>
      <c r="L454" s="475">
        <v>4.9000000000000002E-2</v>
      </c>
      <c r="M454" s="475">
        <v>4.8000000000000001E-2</v>
      </c>
      <c r="N454" s="427">
        <v>3.5950000000000003E-2</v>
      </c>
    </row>
    <row r="455" spans="1:29" s="475" customFormat="1" x14ac:dyDescent="0.3">
      <c r="A455" s="475">
        <v>18</v>
      </c>
      <c r="B455" s="9" t="s">
        <v>416</v>
      </c>
      <c r="C455" s="45" t="s">
        <v>183</v>
      </c>
      <c r="D455" s="19"/>
      <c r="E455" s="47"/>
      <c r="F455" s="47"/>
      <c r="G455" s="150">
        <f>G500/'[1]Bevs(2000-2015)'!N266</f>
        <v>1.2830946180555556E-2</v>
      </c>
      <c r="H455" s="150">
        <f>H500/'[1]Bevs(2000-2015)'!O266</f>
        <v>9.6820595550178121E-2</v>
      </c>
      <c r="I455" s="150">
        <f>I500/'[1]Bevs(2000-2015)'!P266</f>
        <v>0.17864470896465068</v>
      </c>
      <c r="J455" s="150">
        <f>J500/'[1]Bevs(2000-2015)'!Q266</f>
        <v>4.1642905454690134E-2</v>
      </c>
      <c r="K455" s="150">
        <f>K500/'[1]Bevs(2000-2015)'!R266</f>
        <v>0.17050446504674857</v>
      </c>
      <c r="L455" s="475">
        <v>0.14000000000000001</v>
      </c>
      <c r="M455" s="475">
        <v>0.254</v>
      </c>
      <c r="N455" s="427">
        <v>0.18296000000000001</v>
      </c>
    </row>
    <row r="456" spans="1:29" s="475" customFormat="1" x14ac:dyDescent="0.3">
      <c r="A456" s="475">
        <v>19</v>
      </c>
      <c r="B456" s="44" t="s">
        <v>416</v>
      </c>
      <c r="C456" s="59" t="s">
        <v>184</v>
      </c>
      <c r="D456" s="10"/>
      <c r="E456" s="40"/>
      <c r="F456" s="40"/>
      <c r="G456" s="149">
        <f>G501/'[1]Bevs(2000-2015)'!N269</f>
        <v>3.361160464380461E-2</v>
      </c>
      <c r="H456" s="149">
        <f>H501/'[1]Bevs(2000-2015)'!O269</f>
        <v>7.5275212098408803E-2</v>
      </c>
      <c r="I456" s="149">
        <f>I501/'[1]Bevs(2000-2015)'!P269</f>
        <v>0.10551792077642509</v>
      </c>
      <c r="J456" s="149">
        <f>J501/'[1]Bevs(2000-2015)'!Q269</f>
        <v>0.11142129195060405</v>
      </c>
      <c r="K456" s="149">
        <f>K501/'[1]Bevs(2000-2015)'!R269</f>
        <v>9.4983269511856303E-2</v>
      </c>
      <c r="L456" s="475">
        <v>0.123</v>
      </c>
      <c r="M456" s="475">
        <v>9.8000000000000004E-2</v>
      </c>
      <c r="N456" s="427">
        <v>0.13849</v>
      </c>
    </row>
    <row r="457" spans="1:29" s="475" customFormat="1" x14ac:dyDescent="0.3">
      <c r="A457" s="475">
        <v>20</v>
      </c>
      <c r="B457" s="9" t="s">
        <v>416</v>
      </c>
      <c r="C457" s="45" t="s">
        <v>185</v>
      </c>
      <c r="D457" s="19"/>
      <c r="E457" s="47"/>
      <c r="F457" s="47"/>
      <c r="G457" s="150">
        <f>G502/'[1]Bevs(2000-2015)'!N272</f>
        <v>5.4072321730314291E-3</v>
      </c>
      <c r="H457" s="150">
        <f>H502/'[1]Bevs(2000-2015)'!O272</f>
        <v>0</v>
      </c>
      <c r="I457" s="150">
        <f>I502/'[1]Bevs(2000-2015)'!P272</f>
        <v>0</v>
      </c>
      <c r="J457" s="150">
        <f>J502/'[1]Bevs(2000-2015)'!Q272</f>
        <v>0</v>
      </c>
      <c r="K457" s="150">
        <f>K502/'[1]Bevs(2000-2015)'!R272</f>
        <v>1.4920424403183023E-2</v>
      </c>
      <c r="L457" s="475">
        <v>1E-3</v>
      </c>
      <c r="M457" s="475">
        <v>0.105</v>
      </c>
      <c r="N457" s="427">
        <v>0</v>
      </c>
    </row>
    <row r="458" spans="1:29" s="475" customFormat="1" x14ac:dyDescent="0.3">
      <c r="A458" s="475">
        <v>21</v>
      </c>
      <c r="B458" s="44" t="s">
        <v>416</v>
      </c>
      <c r="C458" s="59" t="s">
        <v>242</v>
      </c>
      <c r="D458" s="10"/>
      <c r="E458" s="40"/>
      <c r="F458" s="40"/>
      <c r="G458" s="149">
        <f>G503/'[1]Bevs(2000-2015)'!N275</f>
        <v>1.5781587738258988E-2</v>
      </c>
      <c r="H458" s="149">
        <f>H503/'[1]Bevs(2000-2015)'!O275</f>
        <v>3.1859772902656819E-2</v>
      </c>
      <c r="I458" s="149">
        <f>I503/'[1]Bevs(2000-2015)'!P275</f>
        <v>4.589999265012127E-2</v>
      </c>
      <c r="J458" s="149">
        <f>J503/'[1]Bevs(2000-2015)'!Q275</f>
        <v>6.6492507886435334E-2</v>
      </c>
      <c r="K458" s="149">
        <f>K503/'[1]Bevs(2000-2015)'!R275</f>
        <v>5.6663412252867952E-2</v>
      </c>
      <c r="L458" s="475">
        <v>9.6000000000000002E-2</v>
      </c>
      <c r="M458" s="475">
        <v>8.7999999999999995E-2</v>
      </c>
      <c r="N458" s="427">
        <v>8.5129999999999997E-2</v>
      </c>
    </row>
    <row r="459" spans="1:29" s="475" customFormat="1" x14ac:dyDescent="0.3">
      <c r="A459" s="475">
        <v>22</v>
      </c>
      <c r="B459" s="9" t="s">
        <v>416</v>
      </c>
      <c r="C459" s="45" t="s">
        <v>187</v>
      </c>
      <c r="D459" s="19"/>
      <c r="E459" s="47"/>
      <c r="F459" s="47"/>
      <c r="G459" s="150">
        <f>G504/'[1]Bevs(2000-2015)'!N278</f>
        <v>2.7721399930696498E-3</v>
      </c>
      <c r="H459" s="150">
        <f>H504/'[1]Bevs(2000-2015)'!O278</f>
        <v>2.7975650822432328E-2</v>
      </c>
      <c r="I459" s="150">
        <f>I504/'[1]Bevs(2000-2015)'!P278</f>
        <v>2.1810803956378393E-2</v>
      </c>
      <c r="J459" s="150">
        <f>J504/'[1]Bevs(2000-2015)'!Q278</f>
        <v>6.8238213399503724E-3</v>
      </c>
      <c r="K459" s="150">
        <f>K504/'[1]Bevs(2000-2015)'!R278</f>
        <v>2.1999065152817358E-2</v>
      </c>
      <c r="L459" s="475">
        <v>4.0000000000000001E-3</v>
      </c>
      <c r="M459" s="475">
        <v>0.14199999999999999</v>
      </c>
      <c r="N459" s="427">
        <v>5.0139999999999997E-2</v>
      </c>
    </row>
    <row r="460" spans="1:29" s="475" customFormat="1" x14ac:dyDescent="0.3">
      <c r="A460" s="475">
        <v>23</v>
      </c>
      <c r="B460" s="44" t="s">
        <v>416</v>
      </c>
      <c r="C460" s="59" t="s">
        <v>188</v>
      </c>
      <c r="D460" s="10"/>
      <c r="E460" s="40"/>
      <c r="F460" s="40"/>
      <c r="G460" s="149">
        <f>G505/'[1]Bevs(2000-2015)'!N281</f>
        <v>2.4115675188872768E-2</v>
      </c>
      <c r="H460" s="149">
        <f>H505/'[1]Bevs(2000-2015)'!O281</f>
        <v>4.8990351138963495E-2</v>
      </c>
      <c r="I460" s="149">
        <f>I505/'[1]Bevs(2000-2015)'!P281</f>
        <v>7.9749058971141776E-2</v>
      </c>
      <c r="J460" s="149">
        <f>J505/'[1]Bevs(2000-2015)'!Q281</f>
        <v>7.6243093922651939E-2</v>
      </c>
      <c r="K460" s="149">
        <f>K505/'[1]Bevs(2000-2015)'!R281</f>
        <v>8.2525977611565687E-2</v>
      </c>
      <c r="L460" s="475">
        <v>0.129</v>
      </c>
      <c r="M460" s="475">
        <v>0.12</v>
      </c>
      <c r="N460" s="427">
        <v>0.13270999999999999</v>
      </c>
    </row>
    <row r="461" spans="1:29" s="475" customFormat="1" x14ac:dyDescent="0.3">
      <c r="A461" s="475">
        <v>24</v>
      </c>
      <c r="B461" s="9" t="s">
        <v>416</v>
      </c>
      <c r="C461" s="45" t="s">
        <v>243</v>
      </c>
      <c r="D461" s="19"/>
      <c r="E461" s="47"/>
      <c r="F461" s="47"/>
      <c r="G461" s="150">
        <f>G506/'[1]Bevs(2000-2015)'!N284</f>
        <v>4.3944546167930948E-3</v>
      </c>
      <c r="H461" s="150">
        <f>H506/'[1]Bevs(2000-2015)'!O284</f>
        <v>8.3146067415730343E-2</v>
      </c>
      <c r="I461" s="150">
        <f>I506/'[1]Bevs(2000-2015)'!P284</f>
        <v>9.1361422824475971E-2</v>
      </c>
      <c r="J461" s="150">
        <f>J506/'[1]Bevs(2000-2015)'!Q284</f>
        <v>9.0526542943461366E-2</v>
      </c>
      <c r="K461" s="150">
        <f>K506/'[1]Bevs(2000-2015)'!R284</f>
        <v>7.5695017891549685E-2</v>
      </c>
      <c r="L461" s="475">
        <v>3.5999999999999997E-2</v>
      </c>
      <c r="M461" s="475">
        <v>0.16700000000000001</v>
      </c>
      <c r="N461" s="427">
        <v>0.10806</v>
      </c>
    </row>
    <row r="462" spans="1:29" s="475" customFormat="1" x14ac:dyDescent="0.3">
      <c r="A462" s="475">
        <v>25</v>
      </c>
      <c r="B462" s="44" t="s">
        <v>416</v>
      </c>
      <c r="C462" s="59" t="s">
        <v>244</v>
      </c>
      <c r="D462" s="10"/>
      <c r="E462" s="40"/>
      <c r="F462" s="40"/>
      <c r="G462" s="149">
        <f>G507/'[1]Bevs(2000-2015)'!N287</f>
        <v>9.3327833350520771E-3</v>
      </c>
      <c r="H462" s="149">
        <f>H507/'[1]Bevs(2000-2015)'!O287</f>
        <v>6.2713537316832435E-2</v>
      </c>
      <c r="I462" s="149">
        <f>I507/'[1]Bevs(2000-2015)'!P287</f>
        <v>0.10707075680732681</v>
      </c>
      <c r="J462" s="149">
        <f>J507/'[1]Bevs(2000-2015)'!Q287</f>
        <v>0.11857978319915824</v>
      </c>
      <c r="K462" s="149">
        <f>K507/'[1]Bevs(2000-2015)'!R287</f>
        <v>8.7381916329284756E-2</v>
      </c>
      <c r="L462" s="475">
        <v>5.6000000000000001E-2</v>
      </c>
      <c r="M462" s="475">
        <v>9.0999999999999998E-2</v>
      </c>
      <c r="N462" s="427">
        <v>5.398E-2</v>
      </c>
    </row>
    <row r="463" spans="1:29" s="140" customFormat="1" x14ac:dyDescent="0.3">
      <c r="A463" s="475">
        <v>26</v>
      </c>
      <c r="B463" s="44" t="s">
        <v>416</v>
      </c>
      <c r="C463" s="27" t="s">
        <v>346</v>
      </c>
      <c r="D463" s="10"/>
      <c r="E463" s="40"/>
      <c r="F463" s="40"/>
      <c r="G463" s="149">
        <f>G508/'[1]Bevs(2000-2015)'!N293</f>
        <v>0</v>
      </c>
      <c r="H463" s="149">
        <f>H508/'[1]Bevs(2000-2015)'!O293</f>
        <v>4.4800582771808414E-2</v>
      </c>
      <c r="I463" s="149">
        <f>I508/'[1]Bevs(2000-2015)'!P293</f>
        <v>6.3493866424352563E-2</v>
      </c>
      <c r="J463" s="149">
        <f>J508/'[1]Bevs(2000-2015)'!Q293</f>
        <v>4.8482245778993287E-2</v>
      </c>
      <c r="K463" s="149">
        <f>K508/'[1]Bevs(2000-2015)'!R293</f>
        <v>3.8734984064721749E-2</v>
      </c>
      <c r="L463" s="475">
        <v>4.4999999999999998E-2</v>
      </c>
      <c r="M463" s="475">
        <v>3.7999999999999999E-2</v>
      </c>
      <c r="N463" s="427">
        <v>8.3400000000000002E-2</v>
      </c>
      <c r="O463" s="475"/>
      <c r="P463" s="475"/>
      <c r="Q463" s="475"/>
      <c r="R463" s="475"/>
      <c r="S463" s="475"/>
      <c r="T463" s="475"/>
      <c r="U463" s="475"/>
      <c r="V463" s="475"/>
      <c r="W463" s="475"/>
      <c r="X463" s="475"/>
      <c r="Y463" s="475"/>
      <c r="Z463" s="475"/>
      <c r="AA463" s="475"/>
      <c r="AB463" s="475"/>
      <c r="AC463" s="475"/>
    </row>
    <row r="464" spans="1:29" s="6" customFormat="1" x14ac:dyDescent="0.3">
      <c r="A464" s="475">
        <v>27</v>
      </c>
      <c r="B464" s="9" t="s">
        <v>416</v>
      </c>
      <c r="C464" s="123" t="s">
        <v>191</v>
      </c>
      <c r="D464" s="128"/>
      <c r="E464" s="139"/>
      <c r="F464" s="139"/>
      <c r="G464" s="159">
        <f>G509/'[1]Bevs(2000-2015)'!N296</f>
        <v>5.6523259881077301E-2</v>
      </c>
      <c r="H464" s="159">
        <f>H509/'[1]Bevs(2000-2015)'!O296</f>
        <v>9.8381630818175525E-2</v>
      </c>
      <c r="I464" s="159">
        <f>I509/'[1]Bevs(2000-2015)'!P296</f>
        <v>8.8158527371385395E-2</v>
      </c>
      <c r="J464" s="159">
        <f>J509/'[1]Bevs(2000-2015)'!Q296</f>
        <v>0.15629940202075743</v>
      </c>
      <c r="K464" s="427">
        <f>K509/'[1]Bevs(2000-2015)'!R296</f>
        <v>6.41901027582477E-2</v>
      </c>
      <c r="L464" s="475">
        <v>0.13900000000000001</v>
      </c>
      <c r="M464" s="475">
        <v>0.314</v>
      </c>
      <c r="N464" s="427">
        <v>0.18573999999999999</v>
      </c>
      <c r="O464" s="475"/>
      <c r="P464" s="475"/>
      <c r="Q464" s="475"/>
      <c r="R464" s="475"/>
      <c r="S464" s="475"/>
      <c r="T464" s="475"/>
      <c r="U464" s="475"/>
      <c r="V464" s="475"/>
      <c r="W464" s="475"/>
      <c r="X464" s="475"/>
      <c r="Y464" s="475"/>
      <c r="Z464" s="475"/>
      <c r="AA464" s="475"/>
      <c r="AB464" s="475"/>
      <c r="AC464" s="475"/>
    </row>
    <row r="465" spans="1:29" s="140" customFormat="1" x14ac:dyDescent="0.3">
      <c r="A465" s="475">
        <v>28</v>
      </c>
      <c r="B465" s="44" t="s">
        <v>416</v>
      </c>
      <c r="C465" s="27" t="s">
        <v>245</v>
      </c>
      <c r="D465" s="10"/>
      <c r="E465" s="40"/>
      <c r="F465" s="40"/>
      <c r="G465" s="149">
        <f>G510/'[1]Bevs(2000-2015)'!N299</f>
        <v>2.1444963810664148E-2</v>
      </c>
      <c r="H465" s="149">
        <f>H510/'[1]Bevs(2000-2015)'!O299</f>
        <v>5.3809465574171454E-2</v>
      </c>
      <c r="I465" s="149">
        <f>I510/'[1]Bevs(2000-2015)'!P299</f>
        <v>6.4422239537974976E-2</v>
      </c>
      <c r="J465" s="149">
        <f>J510/'[1]Bevs(2000-2015)'!Q299</f>
        <v>6.3447961739922565E-2</v>
      </c>
      <c r="K465" s="427">
        <f>K510/'[1]Bevs(2000-2015)'!R299</f>
        <v>6.6278982516695437E-2</v>
      </c>
      <c r="L465" s="475">
        <v>5.8999999999999997E-2</v>
      </c>
      <c r="M465" s="475">
        <v>0.10299999999999999</v>
      </c>
      <c r="N465" s="427">
        <v>9.1670000000000001E-2</v>
      </c>
      <c r="O465" s="475"/>
      <c r="P465" s="475"/>
      <c r="Q465" s="475"/>
      <c r="R465" s="475"/>
      <c r="S465" s="475"/>
      <c r="T465" s="475"/>
      <c r="U465" s="475"/>
      <c r="V465" s="475"/>
      <c r="W465" s="475"/>
      <c r="X465" s="475"/>
      <c r="Y465" s="475"/>
      <c r="Z465" s="475"/>
      <c r="AA465" s="475"/>
      <c r="AB465" s="475"/>
      <c r="AC465" s="475"/>
    </row>
    <row r="466" spans="1:29" s="6" customFormat="1" x14ac:dyDescent="0.3">
      <c r="B466" s="48" t="s">
        <v>416</v>
      </c>
      <c r="C466" s="49" t="s">
        <v>214</v>
      </c>
      <c r="D466" s="50"/>
      <c r="E466" s="51"/>
      <c r="F466" s="51"/>
      <c r="G466" s="151">
        <f>G473/'[1]Bevs(2000-2015)'!N300</f>
        <v>2.7094057131290188E-2</v>
      </c>
      <c r="H466" s="151">
        <f>H473/'[1]Bevs(2000-2015)'!O300</f>
        <v>7.9741701690034472E-2</v>
      </c>
      <c r="I466" s="151">
        <f>I473/'[1]Bevs(2000-2015)'!P300</f>
        <v>7.9282414032072146E-2</v>
      </c>
      <c r="J466" s="151">
        <f>J473/'[1]Bevs(2000-2015)'!Q300</f>
        <v>8.6471181909931541E-2</v>
      </c>
      <c r="K466" s="151">
        <f>K473/'[1]Bevs(2000-2015)'!R300</f>
        <v>9.9573901642997772E-2</v>
      </c>
      <c r="L466" s="151">
        <v>0.13400000000000001</v>
      </c>
      <c r="M466" s="151">
        <v>0.14199999999999999</v>
      </c>
      <c r="N466" s="151">
        <v>0.12905</v>
      </c>
      <c r="O466" s="151"/>
    </row>
    <row r="467" spans="1:29" s="6" customFormat="1" x14ac:dyDescent="0.3">
      <c r="B467" s="403" t="s">
        <v>511</v>
      </c>
      <c r="C467" s="398"/>
      <c r="D467" s="399"/>
      <c r="E467" s="400"/>
      <c r="F467" s="400"/>
      <c r="G467" s="401"/>
      <c r="H467" s="401"/>
      <c r="I467" s="401"/>
      <c r="J467" s="401"/>
      <c r="K467" s="401"/>
      <c r="P467" s="475"/>
      <c r="Q467" s="475"/>
      <c r="R467" s="475"/>
      <c r="S467" s="475"/>
    </row>
    <row r="468" spans="1:29" s="6" customFormat="1" x14ac:dyDescent="0.3">
      <c r="B468" s="402" t="s">
        <v>602</v>
      </c>
      <c r="C468" s="398"/>
      <c r="D468" s="399"/>
      <c r="E468" s="400"/>
      <c r="F468" s="400"/>
      <c r="G468" s="401"/>
      <c r="H468" s="401"/>
      <c r="I468" s="401"/>
      <c r="J468" s="401"/>
      <c r="K468" s="401"/>
      <c r="P468" s="475"/>
      <c r="Q468" s="475"/>
      <c r="R468" s="475"/>
      <c r="S468" s="475"/>
    </row>
    <row r="469" spans="1:29" s="475" customFormat="1" x14ac:dyDescent="0.3">
      <c r="B469" s="693" t="s">
        <v>16</v>
      </c>
      <c r="C469" s="690"/>
      <c r="D469" s="37"/>
      <c r="E469" s="37"/>
      <c r="F469" s="37"/>
      <c r="G469" s="37">
        <v>1569</v>
      </c>
      <c r="H469" s="37">
        <v>1377</v>
      </c>
      <c r="I469" s="37">
        <v>1676</v>
      </c>
      <c r="J469" s="37">
        <v>1602</v>
      </c>
      <c r="K469" s="37">
        <v>1649</v>
      </c>
      <c r="L469" s="37">
        <v>1721</v>
      </c>
      <c r="M469" s="37">
        <v>1664</v>
      </c>
      <c r="N469" s="37">
        <v>1503</v>
      </c>
      <c r="O469" s="37"/>
    </row>
    <row r="470" spans="1:29" s="475" customFormat="1" x14ac:dyDescent="0.3">
      <c r="B470" s="698" t="s">
        <v>398</v>
      </c>
      <c r="C470" s="690"/>
      <c r="D470" s="37"/>
      <c r="E470" s="37"/>
      <c r="F470" s="37"/>
      <c r="G470" s="37"/>
      <c r="H470" s="42"/>
      <c r="I470" s="42"/>
      <c r="J470" s="42">
        <v>0.96</v>
      </c>
      <c r="K470" s="42">
        <v>0.95</v>
      </c>
      <c r="L470" s="475">
        <v>96</v>
      </c>
      <c r="M470" s="17">
        <v>0.96</v>
      </c>
      <c r="N470" s="391">
        <v>0.97</v>
      </c>
      <c r="O470" s="391"/>
    </row>
    <row r="471" spans="1:29" s="475" customFormat="1" x14ac:dyDescent="0.3">
      <c r="B471" s="11" t="s">
        <v>8</v>
      </c>
      <c r="C471" s="11"/>
      <c r="D471" s="21"/>
      <c r="E471" s="21"/>
      <c r="F471" s="21"/>
      <c r="G471" s="21"/>
      <c r="H471" s="21"/>
      <c r="I471" s="21"/>
      <c r="J471" s="21"/>
      <c r="K471" s="21"/>
      <c r="L471" s="21"/>
      <c r="M471" s="21"/>
      <c r="N471" s="21"/>
      <c r="O471" s="21"/>
      <c r="P471" s="6"/>
      <c r="Q471" s="6"/>
      <c r="R471" s="6"/>
      <c r="S471" s="6"/>
    </row>
    <row r="472" spans="1:29" s="475" customFormat="1" x14ac:dyDescent="0.3">
      <c r="B472" s="491" t="s">
        <v>404</v>
      </c>
      <c r="C472" s="156"/>
      <c r="D472" s="10"/>
      <c r="E472" s="10"/>
      <c r="F472" s="10"/>
      <c r="G472" s="14">
        <v>2514000</v>
      </c>
      <c r="H472" s="14">
        <v>2565000</v>
      </c>
      <c r="I472" s="14">
        <v>2591000</v>
      </c>
      <c r="J472" s="14">
        <v>2576641</v>
      </c>
      <c r="K472" s="14">
        <v>2141000</v>
      </c>
      <c r="L472" s="14">
        <v>3271000</v>
      </c>
      <c r="M472" s="14">
        <v>3281000</v>
      </c>
      <c r="N472" s="14">
        <v>1514385</v>
      </c>
      <c r="O472" s="14"/>
    </row>
    <row r="473" spans="1:29" s="6" customFormat="1" x14ac:dyDescent="0.3">
      <c r="B473" s="702" t="s">
        <v>403</v>
      </c>
      <c r="C473" s="690"/>
      <c r="D473" s="14"/>
      <c r="E473" s="14"/>
      <c r="F473" s="475"/>
      <c r="G473" s="14">
        <v>121000</v>
      </c>
      <c r="H473" s="14">
        <v>358769</v>
      </c>
      <c r="I473" s="14">
        <v>360141</v>
      </c>
      <c r="J473" s="14">
        <v>396265</v>
      </c>
      <c r="K473" s="14">
        <v>461089</v>
      </c>
      <c r="L473" s="7">
        <v>627724</v>
      </c>
      <c r="M473" s="7">
        <v>674661</v>
      </c>
      <c r="N473" s="7">
        <v>621673</v>
      </c>
      <c r="O473" s="7"/>
      <c r="P473" s="475"/>
      <c r="Q473" s="475"/>
      <c r="R473" s="475"/>
      <c r="S473" s="475"/>
    </row>
    <row r="474" spans="1:29" s="6" customFormat="1" x14ac:dyDescent="0.3">
      <c r="B474" s="707" t="s">
        <v>845</v>
      </c>
      <c r="C474" s="704"/>
      <c r="D474" s="158"/>
      <c r="E474" s="158"/>
      <c r="F474" s="23"/>
      <c r="G474" s="158">
        <v>121</v>
      </c>
      <c r="H474" s="158">
        <v>359</v>
      </c>
      <c r="I474" s="158">
        <v>360</v>
      </c>
      <c r="J474" s="158">
        <v>396</v>
      </c>
      <c r="K474" s="158">
        <v>461</v>
      </c>
      <c r="L474" s="158">
        <v>628</v>
      </c>
      <c r="M474" s="158">
        <v>675</v>
      </c>
      <c r="N474" s="158">
        <v>622</v>
      </c>
      <c r="O474" s="7"/>
      <c r="P474" s="475"/>
      <c r="Q474" s="475"/>
      <c r="R474" s="475"/>
      <c r="S474" s="475"/>
    </row>
    <row r="475" spans="1:29" s="475" customFormat="1" x14ac:dyDescent="0.3">
      <c r="B475" s="491" t="s">
        <v>401</v>
      </c>
      <c r="C475" s="490"/>
      <c r="D475" s="14"/>
      <c r="E475" s="14"/>
      <c r="G475" s="14">
        <v>95000</v>
      </c>
      <c r="H475" s="14">
        <v>285119</v>
      </c>
      <c r="I475" s="14">
        <v>270719</v>
      </c>
      <c r="J475" s="14">
        <v>302036</v>
      </c>
      <c r="K475" s="14">
        <v>362818</v>
      </c>
      <c r="L475" s="14">
        <v>495397</v>
      </c>
      <c r="M475" s="14">
        <v>495155</v>
      </c>
      <c r="N475" s="14">
        <v>510431</v>
      </c>
      <c r="O475" s="14"/>
    </row>
    <row r="476" spans="1:29" s="475" customFormat="1" x14ac:dyDescent="0.3">
      <c r="B476" s="491" t="s">
        <v>402</v>
      </c>
      <c r="C476" s="490"/>
      <c r="D476" s="14"/>
      <c r="E476" s="14"/>
      <c r="G476" s="14">
        <v>26000</v>
      </c>
      <c r="H476" s="14">
        <v>63918</v>
      </c>
      <c r="I476" s="14">
        <v>85422</v>
      </c>
      <c r="J476" s="14">
        <v>94229</v>
      </c>
      <c r="K476" s="14">
        <v>98270</v>
      </c>
      <c r="L476" s="14">
        <v>132326</v>
      </c>
      <c r="M476" s="14">
        <v>179506</v>
      </c>
      <c r="N476" s="14">
        <v>111242</v>
      </c>
      <c r="O476" s="14"/>
    </row>
    <row r="477" spans="1:29" s="475" customFormat="1" x14ac:dyDescent="0.3">
      <c r="B477" s="491" t="s">
        <v>408</v>
      </c>
      <c r="C477" s="490"/>
      <c r="D477" s="14"/>
      <c r="E477" s="14"/>
      <c r="G477" s="42"/>
      <c r="H477" s="42"/>
      <c r="I477" s="42"/>
      <c r="J477" s="42">
        <v>0.46</v>
      </c>
      <c r="K477" s="42">
        <v>0.22</v>
      </c>
      <c r="L477" s="42">
        <v>0.19</v>
      </c>
      <c r="M477" s="42">
        <v>0.2</v>
      </c>
      <c r="N477" s="42">
        <v>0.41</v>
      </c>
      <c r="O477" s="42"/>
    </row>
    <row r="478" spans="1:29" s="475" customFormat="1" x14ac:dyDescent="0.3">
      <c r="B478" s="491" t="s">
        <v>407</v>
      </c>
      <c r="C478" s="490"/>
      <c r="D478" s="14"/>
      <c r="E478" s="14"/>
      <c r="G478" s="42">
        <f>G473/G472</f>
        <v>4.8130469371519491E-2</v>
      </c>
      <c r="H478" s="42">
        <f>H473/H472</f>
        <v>0.13987095516569201</v>
      </c>
      <c r="I478" s="42">
        <f>I473/I472</f>
        <v>0.13899691238903897</v>
      </c>
      <c r="J478" s="42">
        <f>J473/J472</f>
        <v>0.15379131202212493</v>
      </c>
      <c r="K478" s="42">
        <v>0.17</v>
      </c>
      <c r="L478" s="42">
        <v>0.19</v>
      </c>
      <c r="M478" s="42"/>
      <c r="N478" s="42"/>
      <c r="O478" s="42"/>
    </row>
    <row r="479" spans="1:29" s="475" customFormat="1" x14ac:dyDescent="0.3">
      <c r="B479" s="491" t="s">
        <v>399</v>
      </c>
      <c r="C479" s="490"/>
      <c r="D479" s="14"/>
      <c r="E479" s="14"/>
      <c r="G479" s="14">
        <v>8800</v>
      </c>
      <c r="H479" s="14">
        <v>29877</v>
      </c>
      <c r="I479" s="148">
        <v>27418</v>
      </c>
      <c r="J479" s="148">
        <v>31739</v>
      </c>
      <c r="K479" s="148">
        <v>29594</v>
      </c>
      <c r="L479" s="14">
        <v>31212</v>
      </c>
      <c r="M479" s="14">
        <v>28311</v>
      </c>
      <c r="N479" s="14">
        <v>24274</v>
      </c>
      <c r="O479" s="14"/>
    </row>
    <row r="480" spans="1:29" s="475" customFormat="1" x14ac:dyDescent="0.3">
      <c r="C480" s="52"/>
      <c r="D480" s="24"/>
      <c r="E480" s="24"/>
    </row>
    <row r="481" spans="1:15" s="475" customFormat="1" x14ac:dyDescent="0.3">
      <c r="B481" s="699" t="s">
        <v>248</v>
      </c>
      <c r="C481" s="699"/>
      <c r="D481" s="43"/>
      <c r="E481" s="21"/>
      <c r="F481" s="456">
        <v>2009</v>
      </c>
      <c r="G481" s="456">
        <v>2010</v>
      </c>
      <c r="H481" s="456">
        <v>2011</v>
      </c>
      <c r="I481" s="456">
        <v>2012</v>
      </c>
      <c r="J481" s="456">
        <v>2013</v>
      </c>
      <c r="K481" s="456">
        <v>2014</v>
      </c>
      <c r="L481" s="456">
        <v>2015</v>
      </c>
      <c r="M481" s="456">
        <v>2016</v>
      </c>
      <c r="N481" s="456">
        <v>2017</v>
      </c>
      <c r="O481" s="43"/>
    </row>
    <row r="482" spans="1:15" s="475" customFormat="1" x14ac:dyDescent="0.3">
      <c r="B482" s="32"/>
      <c r="C482" s="32"/>
      <c r="D482" s="39">
        <v>2007</v>
      </c>
      <c r="E482" s="39">
        <v>2008</v>
      </c>
      <c r="F482" s="39"/>
      <c r="G482" s="39"/>
      <c r="H482" s="39"/>
      <c r="I482" s="39"/>
      <c r="J482" s="39"/>
      <c r="K482" s="39"/>
      <c r="L482" s="39"/>
      <c r="M482" s="39"/>
      <c r="N482" s="39"/>
      <c r="O482" s="39"/>
    </row>
    <row r="483" spans="1:15" s="475" customFormat="1" x14ac:dyDescent="0.3">
      <c r="A483" s="475">
        <v>1</v>
      </c>
      <c r="B483" s="9" t="s">
        <v>405</v>
      </c>
      <c r="C483" s="59" t="s">
        <v>233</v>
      </c>
      <c r="D483" s="6"/>
      <c r="E483" s="6"/>
      <c r="F483" s="6"/>
      <c r="G483" s="6">
        <v>78</v>
      </c>
      <c r="H483" s="7">
        <v>765</v>
      </c>
      <c r="I483" s="7">
        <v>1131</v>
      </c>
      <c r="J483" s="7">
        <v>1713</v>
      </c>
      <c r="K483" s="7">
        <v>1697</v>
      </c>
      <c r="L483" s="7">
        <v>2368</v>
      </c>
      <c r="M483" s="7">
        <v>2828</v>
      </c>
      <c r="N483" s="7">
        <v>2690</v>
      </c>
      <c r="O483" s="7"/>
    </row>
    <row r="484" spans="1:15" s="475" customFormat="1" x14ac:dyDescent="0.3">
      <c r="A484" s="475">
        <v>2</v>
      </c>
      <c r="B484" s="44" t="s">
        <v>405</v>
      </c>
      <c r="C484" s="45" t="s">
        <v>234</v>
      </c>
      <c r="D484" s="6"/>
      <c r="E484" s="6"/>
      <c r="F484" s="6"/>
      <c r="G484" s="6">
        <v>278</v>
      </c>
      <c r="H484" s="7">
        <v>1132</v>
      </c>
      <c r="I484" s="7">
        <v>1223</v>
      </c>
      <c r="J484" s="7">
        <v>1537</v>
      </c>
      <c r="K484" s="7">
        <v>1793</v>
      </c>
      <c r="L484" s="7">
        <v>3211</v>
      </c>
      <c r="M484" s="7">
        <v>3751</v>
      </c>
      <c r="N484" s="7">
        <v>2656</v>
      </c>
      <c r="O484" s="7"/>
    </row>
    <row r="485" spans="1:15" s="475" customFormat="1" x14ac:dyDescent="0.3">
      <c r="A485" s="475">
        <v>3</v>
      </c>
      <c r="B485" s="9" t="s">
        <v>405</v>
      </c>
      <c r="C485" s="59" t="s">
        <v>168</v>
      </c>
      <c r="D485" s="6"/>
      <c r="E485" s="6"/>
      <c r="F485" s="6"/>
      <c r="G485" s="6">
        <v>8589</v>
      </c>
      <c r="H485" s="7">
        <v>36136</v>
      </c>
      <c r="I485" s="7">
        <v>49732</v>
      </c>
      <c r="J485" s="7">
        <v>50442</v>
      </c>
      <c r="K485" s="7">
        <v>56125</v>
      </c>
      <c r="L485" s="7">
        <v>62534</v>
      </c>
      <c r="M485" s="7">
        <v>67937</v>
      </c>
      <c r="N485" s="7">
        <v>67341</v>
      </c>
      <c r="O485" s="7"/>
    </row>
    <row r="486" spans="1:15" s="475" customFormat="1" x14ac:dyDescent="0.3">
      <c r="A486" s="475">
        <v>4</v>
      </c>
      <c r="B486" s="44" t="s">
        <v>405</v>
      </c>
      <c r="C486" s="45" t="s">
        <v>169</v>
      </c>
      <c r="D486" s="6"/>
      <c r="E486" s="6"/>
      <c r="F486" s="6"/>
      <c r="G486" s="6">
        <v>492</v>
      </c>
      <c r="H486" s="7">
        <v>1338</v>
      </c>
      <c r="I486" s="7">
        <v>1902</v>
      </c>
      <c r="J486" s="7">
        <v>2685</v>
      </c>
      <c r="K486" s="7">
        <v>2714</v>
      </c>
      <c r="L486" s="7">
        <v>3777</v>
      </c>
      <c r="M486" s="7">
        <v>4530</v>
      </c>
      <c r="N486" s="7">
        <v>5195</v>
      </c>
      <c r="O486" s="7"/>
    </row>
    <row r="487" spans="1:15" s="475" customFormat="1" x14ac:dyDescent="0.3">
      <c r="A487" s="475">
        <v>5</v>
      </c>
      <c r="B487" s="9" t="s">
        <v>405</v>
      </c>
      <c r="C487" s="59" t="s">
        <v>170</v>
      </c>
      <c r="D487" s="6"/>
      <c r="E487" s="6"/>
      <c r="F487" s="6"/>
      <c r="G487" s="6">
        <v>0</v>
      </c>
      <c r="H487" s="7">
        <v>195</v>
      </c>
      <c r="I487" s="7">
        <v>105</v>
      </c>
      <c r="J487" s="7">
        <v>189</v>
      </c>
      <c r="K487" s="7">
        <v>122</v>
      </c>
      <c r="L487" s="7">
        <v>45</v>
      </c>
      <c r="M487" s="7">
        <v>131</v>
      </c>
      <c r="N487" s="7">
        <v>56</v>
      </c>
      <c r="O487" s="7"/>
    </row>
    <row r="488" spans="1:15" s="475" customFormat="1" x14ac:dyDescent="0.3">
      <c r="A488" s="475">
        <v>6</v>
      </c>
      <c r="B488" s="44" t="s">
        <v>405</v>
      </c>
      <c r="C488" s="45" t="s">
        <v>171</v>
      </c>
      <c r="G488" s="6">
        <v>842</v>
      </c>
      <c r="H488" s="7">
        <v>2658</v>
      </c>
      <c r="I488" s="7">
        <v>3558</v>
      </c>
      <c r="J488" s="7">
        <v>5267</v>
      </c>
      <c r="K488" s="7">
        <v>5447</v>
      </c>
      <c r="L488" s="7">
        <v>7238</v>
      </c>
      <c r="M488" s="7">
        <v>7680</v>
      </c>
      <c r="N488" s="7">
        <v>6901</v>
      </c>
      <c r="O488" s="7"/>
    </row>
    <row r="489" spans="1:15" s="475" customFormat="1" x14ac:dyDescent="0.3">
      <c r="A489" s="475">
        <v>7</v>
      </c>
      <c r="B489" s="9" t="s">
        <v>405</v>
      </c>
      <c r="C489" s="59" t="s">
        <v>172</v>
      </c>
      <c r="G489" s="6">
        <v>19605</v>
      </c>
      <c r="H489" s="7">
        <v>23937</v>
      </c>
      <c r="I489" s="7">
        <v>21134</v>
      </c>
      <c r="J489" s="7">
        <v>17714</v>
      </c>
      <c r="K489" s="7">
        <v>24224</v>
      </c>
      <c r="L489" s="7">
        <v>26096</v>
      </c>
      <c r="M489" s="7">
        <v>29892</v>
      </c>
      <c r="N489" s="7">
        <v>30851</v>
      </c>
      <c r="O489" s="7"/>
    </row>
    <row r="490" spans="1:15" s="475" customFormat="1" x14ac:dyDescent="0.3">
      <c r="A490" s="475">
        <v>8</v>
      </c>
      <c r="B490" s="44" t="s">
        <v>405</v>
      </c>
      <c r="C490" s="45" t="s">
        <v>235</v>
      </c>
      <c r="G490" s="6">
        <v>843</v>
      </c>
      <c r="H490" s="7">
        <v>1601</v>
      </c>
      <c r="I490" s="7">
        <v>2461</v>
      </c>
      <c r="J490" s="7">
        <v>3616</v>
      </c>
      <c r="K490" s="7">
        <v>2802</v>
      </c>
      <c r="L490" s="7">
        <v>5851</v>
      </c>
      <c r="M490" s="7">
        <v>3610</v>
      </c>
      <c r="N490" s="7">
        <v>3690</v>
      </c>
      <c r="O490" s="7"/>
    </row>
    <row r="491" spans="1:15" s="475" customFormat="1" x14ac:dyDescent="0.3">
      <c r="A491" s="475">
        <v>9</v>
      </c>
      <c r="B491" s="9" t="s">
        <v>405</v>
      </c>
      <c r="C491" s="27" t="s">
        <v>345</v>
      </c>
      <c r="G491" s="404">
        <v>1007</v>
      </c>
      <c r="H491" s="7">
        <v>2714</v>
      </c>
      <c r="I491" s="7">
        <v>5416</v>
      </c>
      <c r="J491" s="7">
        <v>5019</v>
      </c>
      <c r="K491" s="7">
        <v>4815</v>
      </c>
      <c r="L491" s="7">
        <v>7186</v>
      </c>
      <c r="M491" s="7">
        <v>8018</v>
      </c>
      <c r="N491" s="7">
        <v>9765</v>
      </c>
      <c r="O491" s="7"/>
    </row>
    <row r="492" spans="1:15" s="475" customFormat="1" x14ac:dyDescent="0.3">
      <c r="A492" s="475">
        <v>10</v>
      </c>
      <c r="B492" s="44" t="s">
        <v>405</v>
      </c>
      <c r="C492" s="45" t="s">
        <v>175</v>
      </c>
      <c r="G492" s="475">
        <v>493</v>
      </c>
      <c r="H492" s="7">
        <v>7914</v>
      </c>
      <c r="I492" s="7">
        <v>6656</v>
      </c>
      <c r="J492" s="7">
        <v>10813</v>
      </c>
      <c r="K492" s="7">
        <v>6546</v>
      </c>
      <c r="L492" s="7">
        <v>8620</v>
      </c>
      <c r="M492" s="7">
        <v>10443</v>
      </c>
      <c r="N492" s="7">
        <v>21457</v>
      </c>
      <c r="O492" s="7"/>
    </row>
    <row r="493" spans="1:15" s="475" customFormat="1" x14ac:dyDescent="0.3">
      <c r="A493" s="475">
        <v>11</v>
      </c>
      <c r="B493" s="9" t="s">
        <v>405</v>
      </c>
      <c r="C493" s="59" t="s">
        <v>176</v>
      </c>
      <c r="G493" s="475">
        <v>732</v>
      </c>
      <c r="H493" s="7">
        <v>1904</v>
      </c>
      <c r="I493" s="7">
        <v>2392</v>
      </c>
      <c r="J493" s="7">
        <v>3961</v>
      </c>
      <c r="K493" s="7">
        <v>4458</v>
      </c>
      <c r="L493" s="7">
        <v>5352</v>
      </c>
      <c r="M493" s="7">
        <v>4797</v>
      </c>
      <c r="N493" s="7">
        <v>5487</v>
      </c>
      <c r="O493" s="7"/>
    </row>
    <row r="494" spans="1:15" s="475" customFormat="1" x14ac:dyDescent="0.3">
      <c r="A494" s="475">
        <v>12</v>
      </c>
      <c r="B494" s="44" t="s">
        <v>405</v>
      </c>
      <c r="C494" s="45" t="s">
        <v>237</v>
      </c>
      <c r="G494" s="475">
        <v>1134</v>
      </c>
      <c r="H494" s="7">
        <v>2771</v>
      </c>
      <c r="I494" s="7">
        <v>4590</v>
      </c>
      <c r="J494" s="7">
        <v>5752</v>
      </c>
      <c r="K494" s="7">
        <v>2609</v>
      </c>
      <c r="L494" s="7">
        <v>5608</v>
      </c>
      <c r="M494" s="7">
        <v>9007</v>
      </c>
      <c r="N494" s="7">
        <v>9162</v>
      </c>
      <c r="O494" s="7"/>
    </row>
    <row r="495" spans="1:15" s="475" customFormat="1" x14ac:dyDescent="0.3">
      <c r="A495" s="475">
        <v>13</v>
      </c>
      <c r="B495" s="9" t="s">
        <v>405</v>
      </c>
      <c r="C495" s="59" t="s">
        <v>178</v>
      </c>
      <c r="G495" s="475">
        <v>3918</v>
      </c>
      <c r="H495" s="7">
        <v>11741</v>
      </c>
      <c r="I495" s="7">
        <v>12308</v>
      </c>
      <c r="J495" s="7">
        <v>14971</v>
      </c>
      <c r="K495" s="7">
        <v>31095</v>
      </c>
      <c r="L495" s="7">
        <v>124939</v>
      </c>
      <c r="M495" s="7">
        <v>66261</v>
      </c>
      <c r="N495" s="7">
        <v>72836</v>
      </c>
      <c r="O495" s="7"/>
    </row>
    <row r="496" spans="1:15" s="475" customFormat="1" x14ac:dyDescent="0.3">
      <c r="A496" s="475">
        <v>14</v>
      </c>
      <c r="B496" s="44" t="s">
        <v>405</v>
      </c>
      <c r="C496" s="45" t="s">
        <v>238</v>
      </c>
      <c r="G496" s="475">
        <v>106</v>
      </c>
      <c r="H496" s="7">
        <v>1046</v>
      </c>
      <c r="I496" s="7">
        <v>2922</v>
      </c>
      <c r="J496" s="7">
        <v>4266</v>
      </c>
      <c r="K496" s="7">
        <v>1573</v>
      </c>
      <c r="L496" s="7">
        <v>2725</v>
      </c>
      <c r="M496" s="7">
        <v>2668</v>
      </c>
      <c r="N496" s="7">
        <v>2948</v>
      </c>
      <c r="O496" s="7"/>
    </row>
    <row r="497" spans="1:15" s="475" customFormat="1" x14ac:dyDescent="0.3">
      <c r="A497" s="475">
        <v>15</v>
      </c>
      <c r="B497" s="9" t="s">
        <v>405</v>
      </c>
      <c r="C497" s="59" t="s">
        <v>239</v>
      </c>
      <c r="G497" s="475">
        <v>60</v>
      </c>
      <c r="H497" s="7">
        <v>4810</v>
      </c>
      <c r="I497" s="7">
        <v>10112</v>
      </c>
      <c r="J497" s="7">
        <v>3870</v>
      </c>
      <c r="K497" s="7">
        <v>5956</v>
      </c>
      <c r="L497" s="7">
        <v>12971</v>
      </c>
      <c r="M497" s="7">
        <v>55830</v>
      </c>
      <c r="N497" s="7">
        <v>14204</v>
      </c>
      <c r="O497" s="7"/>
    </row>
    <row r="498" spans="1:15" s="475" customFormat="1" x14ac:dyDescent="0.3">
      <c r="A498" s="475">
        <v>16</v>
      </c>
      <c r="B498" s="44" t="s">
        <v>405</v>
      </c>
      <c r="C498" s="45" t="s">
        <v>240</v>
      </c>
      <c r="G498" s="475">
        <v>71575</v>
      </c>
      <c r="H498" s="7">
        <v>206449</v>
      </c>
      <c r="I498" s="7">
        <v>172395</v>
      </c>
      <c r="J498" s="7">
        <v>219765</v>
      </c>
      <c r="K498" s="7">
        <v>249521</v>
      </c>
      <c r="L498" s="7">
        <v>289117</v>
      </c>
      <c r="M498" s="7">
        <v>297250</v>
      </c>
      <c r="N498" s="7">
        <v>285231</v>
      </c>
      <c r="O498" s="7"/>
    </row>
    <row r="499" spans="1:15" s="475" customFormat="1" x14ac:dyDescent="0.3">
      <c r="A499" s="475">
        <v>17</v>
      </c>
      <c r="B499" s="9" t="s">
        <v>405</v>
      </c>
      <c r="C499" s="59" t="s">
        <v>241</v>
      </c>
      <c r="G499" s="475">
        <v>0</v>
      </c>
      <c r="H499" s="7">
        <v>61</v>
      </c>
      <c r="I499" s="7">
        <v>53</v>
      </c>
      <c r="J499" s="7">
        <v>263</v>
      </c>
      <c r="K499" s="7">
        <v>415</v>
      </c>
      <c r="L499" s="7">
        <v>562</v>
      </c>
      <c r="M499" s="7">
        <v>538</v>
      </c>
      <c r="N499" s="7">
        <v>400</v>
      </c>
      <c r="O499" s="7"/>
    </row>
    <row r="500" spans="1:15" s="475" customFormat="1" x14ac:dyDescent="0.3">
      <c r="A500" s="475">
        <v>18</v>
      </c>
      <c r="B500" s="44" t="s">
        <v>405</v>
      </c>
      <c r="C500" s="45" t="s">
        <v>183</v>
      </c>
      <c r="G500" s="475">
        <v>1892</v>
      </c>
      <c r="H500" s="7">
        <v>14404</v>
      </c>
      <c r="I500" s="7">
        <v>26729</v>
      </c>
      <c r="J500" s="7">
        <v>6280</v>
      </c>
      <c r="K500" s="7">
        <v>26005</v>
      </c>
      <c r="L500" s="7">
        <v>21702</v>
      </c>
      <c r="M500" s="7">
        <v>40015</v>
      </c>
      <c r="N500" s="7">
        <v>29446</v>
      </c>
      <c r="O500" s="7"/>
    </row>
    <row r="501" spans="1:15" s="475" customFormat="1" x14ac:dyDescent="0.3">
      <c r="A501" s="475">
        <v>19</v>
      </c>
      <c r="B501" s="9" t="s">
        <v>405</v>
      </c>
      <c r="C501" s="59" t="s">
        <v>184</v>
      </c>
      <c r="G501" s="475">
        <v>2762</v>
      </c>
      <c r="H501" s="7">
        <v>6202</v>
      </c>
      <c r="I501" s="7">
        <v>8676</v>
      </c>
      <c r="J501" s="7">
        <v>9140</v>
      </c>
      <c r="K501" s="7">
        <v>7863</v>
      </c>
      <c r="L501" s="7">
        <v>10376</v>
      </c>
      <c r="M501" s="7">
        <v>8365</v>
      </c>
      <c r="N501" s="7">
        <v>11973</v>
      </c>
      <c r="O501" s="7"/>
    </row>
    <row r="502" spans="1:15" s="475" customFormat="1" x14ac:dyDescent="0.3">
      <c r="A502" s="475">
        <v>20</v>
      </c>
      <c r="B502" s="44" t="s">
        <v>405</v>
      </c>
      <c r="C502" s="45" t="s">
        <v>185</v>
      </c>
      <c r="G502" s="475">
        <v>32</v>
      </c>
      <c r="H502" s="7">
        <v>0</v>
      </c>
      <c r="I502" s="7">
        <v>0</v>
      </c>
      <c r="J502" s="7">
        <v>0</v>
      </c>
      <c r="K502" s="7">
        <v>90</v>
      </c>
      <c r="L502" s="7">
        <v>7</v>
      </c>
      <c r="M502" s="7">
        <v>629</v>
      </c>
      <c r="N502" s="7">
        <v>0</v>
      </c>
      <c r="O502" s="7"/>
    </row>
    <row r="503" spans="1:15" s="475" customFormat="1" x14ac:dyDescent="0.3">
      <c r="A503" s="475">
        <v>21</v>
      </c>
      <c r="B503" s="9" t="s">
        <v>405</v>
      </c>
      <c r="C503" s="59" t="s">
        <v>242</v>
      </c>
      <c r="G503" s="475">
        <v>1285</v>
      </c>
      <c r="H503" s="7">
        <v>2601</v>
      </c>
      <c r="I503" s="7">
        <v>3747</v>
      </c>
      <c r="J503" s="7">
        <v>5396</v>
      </c>
      <c r="K503" s="7">
        <v>4643</v>
      </c>
      <c r="L503" s="7">
        <v>7836</v>
      </c>
      <c r="M503" s="7">
        <v>7073</v>
      </c>
      <c r="N503" s="7">
        <v>7420</v>
      </c>
      <c r="O503" s="7"/>
    </row>
    <row r="504" spans="1:15" s="475" customFormat="1" x14ac:dyDescent="0.3">
      <c r="A504" s="475">
        <v>22</v>
      </c>
      <c r="B504" s="44" t="s">
        <v>405</v>
      </c>
      <c r="C504" s="45" t="s">
        <v>187</v>
      </c>
      <c r="G504" s="475">
        <v>168</v>
      </c>
      <c r="H504" s="7">
        <v>1728</v>
      </c>
      <c r="I504" s="7">
        <v>1376</v>
      </c>
      <c r="J504" s="7">
        <v>440</v>
      </c>
      <c r="K504" s="7">
        <v>1459</v>
      </c>
      <c r="L504" s="7">
        <v>268</v>
      </c>
      <c r="M504" s="7">
        <v>9413</v>
      </c>
      <c r="N504" s="7">
        <v>3120</v>
      </c>
      <c r="O504" s="7"/>
    </row>
    <row r="505" spans="1:15" s="475" customFormat="1" x14ac:dyDescent="0.3">
      <c r="A505" s="475">
        <v>23</v>
      </c>
      <c r="B505" s="9" t="s">
        <v>405</v>
      </c>
      <c r="C505" s="59" t="s">
        <v>188</v>
      </c>
      <c r="G505" s="475">
        <v>482</v>
      </c>
      <c r="H505" s="7">
        <v>985</v>
      </c>
      <c r="I505" s="7">
        <v>1589</v>
      </c>
      <c r="J505" s="7">
        <v>1518</v>
      </c>
      <c r="K505" s="7">
        <v>1644</v>
      </c>
      <c r="L505" s="7">
        <v>2501</v>
      </c>
      <c r="M505" s="7">
        <v>2434</v>
      </c>
      <c r="N505" s="7">
        <v>2656</v>
      </c>
      <c r="O505" s="7"/>
    </row>
    <row r="506" spans="1:15" s="475" customFormat="1" x14ac:dyDescent="0.3">
      <c r="A506" s="475">
        <v>24</v>
      </c>
      <c r="B506" s="44" t="s">
        <v>405</v>
      </c>
      <c r="C506" s="45" t="s">
        <v>243</v>
      </c>
      <c r="G506" s="475">
        <v>84</v>
      </c>
      <c r="H506" s="7">
        <v>1591</v>
      </c>
      <c r="I506" s="7">
        <v>1726</v>
      </c>
      <c r="J506" s="7">
        <v>1678</v>
      </c>
      <c r="K506" s="7">
        <v>1375</v>
      </c>
      <c r="L506" s="7">
        <v>625</v>
      </c>
      <c r="M506" s="7">
        <v>2907</v>
      </c>
      <c r="N506" s="7">
        <v>1820</v>
      </c>
      <c r="O506" s="7"/>
    </row>
    <row r="507" spans="1:15" s="475" customFormat="1" x14ac:dyDescent="0.3">
      <c r="A507" s="475">
        <v>25</v>
      </c>
      <c r="B507" s="9" t="s">
        <v>405</v>
      </c>
      <c r="C507" s="59" t="s">
        <v>244</v>
      </c>
      <c r="G507" s="475">
        <v>362</v>
      </c>
      <c r="H507" s="7">
        <v>2478</v>
      </c>
      <c r="I507" s="7">
        <v>4349</v>
      </c>
      <c r="J507" s="7">
        <v>4846</v>
      </c>
      <c r="K507" s="7">
        <v>3626</v>
      </c>
      <c r="L507" s="7">
        <v>2251</v>
      </c>
      <c r="M507" s="7">
        <v>3795</v>
      </c>
      <c r="N507" s="7">
        <v>2336</v>
      </c>
      <c r="O507" s="7"/>
    </row>
    <row r="508" spans="1:15" s="475" customFormat="1" x14ac:dyDescent="0.3">
      <c r="A508" s="475">
        <v>26</v>
      </c>
      <c r="B508" s="9" t="s">
        <v>405</v>
      </c>
      <c r="C508" s="27" t="s">
        <v>346</v>
      </c>
      <c r="G508" s="475">
        <v>0</v>
      </c>
      <c r="H508" s="7">
        <v>1968</v>
      </c>
      <c r="I508" s="7">
        <v>2795</v>
      </c>
      <c r="J508" s="7">
        <v>2145</v>
      </c>
      <c r="K508" s="7">
        <v>1738</v>
      </c>
      <c r="L508" s="7">
        <v>2023</v>
      </c>
      <c r="M508" s="7">
        <v>1792</v>
      </c>
      <c r="N508" s="7">
        <v>3884</v>
      </c>
      <c r="O508" s="7"/>
    </row>
    <row r="509" spans="1:15" s="475" customFormat="1" x14ac:dyDescent="0.3">
      <c r="A509" s="475">
        <v>27</v>
      </c>
      <c r="B509" s="44" t="s">
        <v>405</v>
      </c>
      <c r="C509" s="123" t="s">
        <v>191</v>
      </c>
      <c r="G509" s="475">
        <v>1616</v>
      </c>
      <c r="H509" s="7">
        <v>2845</v>
      </c>
      <c r="I509" s="7">
        <v>2567</v>
      </c>
      <c r="J509" s="7">
        <v>4548</v>
      </c>
      <c r="K509" s="7">
        <v>1899</v>
      </c>
      <c r="L509" s="7">
        <v>4059</v>
      </c>
      <c r="M509" s="7">
        <v>9170</v>
      </c>
      <c r="N509" s="7">
        <v>5459</v>
      </c>
      <c r="O509" s="7"/>
    </row>
    <row r="510" spans="1:15" s="475" customFormat="1" x14ac:dyDescent="0.3">
      <c r="A510" s="475">
        <v>28</v>
      </c>
      <c r="B510" s="215" t="s">
        <v>405</v>
      </c>
      <c r="C510" s="216" t="s">
        <v>245</v>
      </c>
      <c r="D510" s="217"/>
      <c r="E510" s="217"/>
      <c r="F510" s="217"/>
      <c r="G510" s="217">
        <v>2794</v>
      </c>
      <c r="H510" s="218">
        <v>7040</v>
      </c>
      <c r="I510" s="218">
        <v>8433</v>
      </c>
      <c r="J510" s="218">
        <v>8358</v>
      </c>
      <c r="K510" s="218">
        <v>8833</v>
      </c>
      <c r="L510" s="218">
        <v>7876</v>
      </c>
      <c r="M510" s="218">
        <v>13897</v>
      </c>
      <c r="N510" s="218">
        <v>12689</v>
      </c>
      <c r="O510" s="36"/>
    </row>
    <row r="511" spans="1:15" s="475" customFormat="1" x14ac:dyDescent="0.3">
      <c r="B511" s="223" t="s">
        <v>528</v>
      </c>
      <c r="C511" s="224" t="s">
        <v>529</v>
      </c>
      <c r="D511" s="157"/>
      <c r="E511" s="157"/>
      <c r="F511" s="157"/>
      <c r="G511" s="158">
        <f t="shared" ref="G511:M511" si="11">SUM(G483:G510)</f>
        <v>121229</v>
      </c>
      <c r="H511" s="158">
        <f t="shared" si="11"/>
        <v>349014</v>
      </c>
      <c r="I511" s="158">
        <f t="shared" si="11"/>
        <v>360077</v>
      </c>
      <c r="J511" s="384">
        <f t="shared" si="11"/>
        <v>396192</v>
      </c>
      <c r="K511" s="384">
        <f t="shared" si="11"/>
        <v>461087</v>
      </c>
      <c r="L511" s="229">
        <f t="shared" si="11"/>
        <v>627724</v>
      </c>
      <c r="M511" s="229">
        <f t="shared" si="11"/>
        <v>674661</v>
      </c>
      <c r="N511" s="229">
        <v>621673</v>
      </c>
      <c r="O511" s="229"/>
    </row>
    <row r="512" spans="1:15" s="475" customFormat="1" x14ac:dyDescent="0.3">
      <c r="B512" s="225" t="s">
        <v>531</v>
      </c>
      <c r="C512" s="226" t="s">
        <v>529</v>
      </c>
      <c r="D512" s="227"/>
      <c r="E512" s="227"/>
      <c r="F512" s="227"/>
      <c r="G512" s="228"/>
      <c r="H512" s="228"/>
      <c r="I512" s="228"/>
      <c r="J512" s="228">
        <v>10848</v>
      </c>
      <c r="K512" s="228">
        <v>9512</v>
      </c>
      <c r="L512" s="228">
        <v>3276</v>
      </c>
      <c r="M512" s="228">
        <v>4639</v>
      </c>
      <c r="N512" s="228">
        <f>0.2*N479</f>
        <v>4854.8</v>
      </c>
      <c r="O512" s="506"/>
    </row>
    <row r="513" spans="2:19" s="475" customFormat="1" x14ac:dyDescent="0.3">
      <c r="B513" s="214" t="s">
        <v>530</v>
      </c>
      <c r="C513" s="224" t="s">
        <v>529</v>
      </c>
      <c r="J513" s="229">
        <f>SUM(J512,J511)</f>
        <v>407040</v>
      </c>
      <c r="K513" s="229">
        <f>SUM(K512,K511)</f>
        <v>470599</v>
      </c>
      <c r="L513" s="229">
        <v>630999</v>
      </c>
      <c r="M513" s="229">
        <v>679300</v>
      </c>
      <c r="N513" s="229">
        <f>SUM(N511:N512)</f>
        <v>626527.80000000005</v>
      </c>
      <c r="O513" s="229"/>
    </row>
    <row r="514" spans="2:19" s="475" customFormat="1" x14ac:dyDescent="0.3">
      <c r="B514" s="214" t="s">
        <v>843</v>
      </c>
      <c r="C514" s="224" t="s">
        <v>529</v>
      </c>
      <c r="G514" s="23">
        <v>121</v>
      </c>
      <c r="H514" s="23">
        <v>349</v>
      </c>
      <c r="I514" s="23">
        <v>360</v>
      </c>
      <c r="J514" s="229">
        <v>407</v>
      </c>
      <c r="K514" s="229">
        <v>471</v>
      </c>
      <c r="L514" s="229">
        <v>631</v>
      </c>
      <c r="M514" s="229">
        <v>679</v>
      </c>
      <c r="N514" s="229">
        <v>626</v>
      </c>
      <c r="O514" s="229"/>
    </row>
    <row r="515" spans="2:19" s="475" customFormat="1" x14ac:dyDescent="0.3">
      <c r="B515" s="214" t="s">
        <v>511</v>
      </c>
      <c r="C515" s="229"/>
      <c r="J515" s="229"/>
      <c r="K515" s="229"/>
      <c r="L515" s="229"/>
      <c r="M515" s="229"/>
      <c r="N515" s="229"/>
      <c r="O515" s="229"/>
      <c r="P515" s="6"/>
      <c r="Q515" s="6"/>
      <c r="R515" s="6"/>
      <c r="S515" s="6"/>
    </row>
    <row r="516" spans="2:19" s="475" customFormat="1" x14ac:dyDescent="0.3">
      <c r="B516" s="402" t="s">
        <v>603</v>
      </c>
      <c r="C516" s="229"/>
      <c r="J516" s="229"/>
      <c r="K516" s="599" t="s">
        <v>774</v>
      </c>
      <c r="L516" s="229"/>
      <c r="M516" s="229"/>
      <c r="N516" s="229"/>
      <c r="O516" s="229"/>
    </row>
    <row r="517" spans="2:19" s="475" customFormat="1" x14ac:dyDescent="0.3">
      <c r="B517" s="229" t="s">
        <v>775</v>
      </c>
      <c r="C517" s="229"/>
      <c r="J517" s="229"/>
      <c r="K517" s="229"/>
      <c r="L517" s="229"/>
      <c r="M517" s="229"/>
      <c r="N517" s="229"/>
      <c r="O517" s="229"/>
    </row>
    <row r="518" spans="2:19" s="6" customFormat="1" ht="23.4" x14ac:dyDescent="0.45">
      <c r="B518" s="30" t="s">
        <v>418</v>
      </c>
      <c r="C518" s="30"/>
      <c r="D518" s="5"/>
      <c r="E518" s="5"/>
      <c r="F518" s="5"/>
      <c r="G518" s="5"/>
      <c r="H518" s="5"/>
      <c r="I518" s="5"/>
      <c r="J518" s="5"/>
      <c r="K518" s="5"/>
      <c r="L518" s="5"/>
      <c r="M518" s="5"/>
      <c r="N518" s="5"/>
      <c r="O518" s="5"/>
      <c r="P518" s="475"/>
      <c r="Q518" s="475"/>
      <c r="R518" s="475"/>
      <c r="S518" s="475"/>
    </row>
    <row r="519" spans="2:19" s="475" customFormat="1" x14ac:dyDescent="0.3">
      <c r="B519" s="32"/>
      <c r="C519" s="32"/>
      <c r="D519" s="39">
        <v>2007</v>
      </c>
      <c r="E519" s="39">
        <v>2008</v>
      </c>
      <c r="F519" s="39">
        <v>2009</v>
      </c>
      <c r="G519" s="39">
        <v>2010</v>
      </c>
      <c r="H519" s="39">
        <v>2011</v>
      </c>
      <c r="I519" s="39">
        <v>2012</v>
      </c>
      <c r="J519" s="39">
        <v>2013</v>
      </c>
      <c r="K519" s="39">
        <v>2014</v>
      </c>
      <c r="L519" s="39">
        <v>2015</v>
      </c>
      <c r="M519" s="39">
        <v>2016</v>
      </c>
      <c r="N519" s="39">
        <v>2017</v>
      </c>
      <c r="O519" s="39"/>
    </row>
    <row r="520" spans="2:19" s="475" customFormat="1" x14ac:dyDescent="0.3">
      <c r="B520" s="11" t="s">
        <v>10</v>
      </c>
      <c r="C520" s="11"/>
      <c r="D520" s="21"/>
      <c r="E520" s="21"/>
      <c r="F520" s="21"/>
      <c r="G520" s="21"/>
      <c r="H520" s="21"/>
      <c r="I520" s="21"/>
      <c r="J520" s="21"/>
      <c r="K520" s="21"/>
      <c r="L520" s="21"/>
      <c r="M520" s="21"/>
      <c r="N520" s="21"/>
      <c r="O520" s="21"/>
    </row>
    <row r="521" spans="2:19" s="475" customFormat="1" x14ac:dyDescent="0.3">
      <c r="B521" s="48" t="s">
        <v>380</v>
      </c>
      <c r="C521" s="49" t="s">
        <v>214</v>
      </c>
      <c r="D521" s="50"/>
      <c r="E521" s="51"/>
      <c r="F521" s="51"/>
      <c r="G521" s="151">
        <f>G527/'[1]Bevs(2000-2015)'!N300</f>
        <v>1.3357370165726062E-2</v>
      </c>
      <c r="H521" s="151">
        <f>H527/'[1]Bevs(2000-2015)'!O300</f>
        <v>2.3894794092825317E-2</v>
      </c>
      <c r="I521" s="151">
        <f>I527/'[1]Bevs(2000-2015)'!P300</f>
        <v>4.6177794293372737E-2</v>
      </c>
      <c r="J521" s="151">
        <f>J527/'[1]Bevs(2000-2015)'!Q300</f>
        <v>3.7749543111208095E-2</v>
      </c>
      <c r="K521" s="151"/>
      <c r="L521" s="151"/>
      <c r="M521" s="151"/>
      <c r="N521" s="151"/>
      <c r="O521" s="151"/>
    </row>
    <row r="522" spans="2:19" s="475" customFormat="1" x14ac:dyDescent="0.3">
      <c r="B522" s="693" t="s">
        <v>16</v>
      </c>
      <c r="C522" s="690"/>
      <c r="D522" s="37"/>
      <c r="E522" s="37"/>
      <c r="F522" s="37"/>
      <c r="G522" s="37">
        <v>586</v>
      </c>
      <c r="H522" s="37">
        <v>554</v>
      </c>
      <c r="I522" s="37">
        <v>430</v>
      </c>
      <c r="J522" s="37">
        <v>522</v>
      </c>
      <c r="K522" s="37">
        <v>379</v>
      </c>
      <c r="L522" s="37">
        <v>415</v>
      </c>
      <c r="M522" s="37">
        <v>223</v>
      </c>
      <c r="N522" s="37">
        <v>266</v>
      </c>
      <c r="O522" s="37"/>
    </row>
    <row r="523" spans="2:19" s="475" customFormat="1" x14ac:dyDescent="0.3">
      <c r="B523" s="698" t="s">
        <v>409</v>
      </c>
      <c r="C523" s="690"/>
      <c r="D523" s="37"/>
      <c r="E523" s="37"/>
      <c r="F523" s="37"/>
      <c r="G523" s="42">
        <v>0.54</v>
      </c>
      <c r="H523" s="42">
        <v>0.55000000000000004</v>
      </c>
      <c r="I523" s="42">
        <v>0.55000000000000004</v>
      </c>
      <c r="J523" s="42">
        <v>0.61</v>
      </c>
      <c r="K523" s="42">
        <v>0.56000000000000005</v>
      </c>
      <c r="L523" s="42">
        <v>0.41</v>
      </c>
      <c r="M523" s="42">
        <v>0.44</v>
      </c>
      <c r="N523" s="42">
        <v>0.41</v>
      </c>
      <c r="O523" s="42"/>
    </row>
    <row r="524" spans="2:19" s="475" customFormat="1" x14ac:dyDescent="0.3">
      <c r="B524" s="698" t="s">
        <v>410</v>
      </c>
      <c r="C524" s="690"/>
      <c r="D524" s="37"/>
      <c r="E524" s="37"/>
      <c r="F524" s="37"/>
      <c r="G524" s="42">
        <v>0.92</v>
      </c>
      <c r="H524" s="42">
        <v>0.92</v>
      </c>
      <c r="I524" s="42">
        <v>0.95</v>
      </c>
      <c r="J524" s="42">
        <v>0.96</v>
      </c>
      <c r="K524" s="42">
        <v>0.84</v>
      </c>
      <c r="L524" s="42">
        <v>0.95</v>
      </c>
      <c r="M524" s="42">
        <v>0.94</v>
      </c>
      <c r="N524" s="42">
        <v>0.82</v>
      </c>
      <c r="O524" s="42"/>
    </row>
    <row r="525" spans="2:19" s="475" customFormat="1" x14ac:dyDescent="0.3">
      <c r="B525" s="11" t="s">
        <v>8</v>
      </c>
      <c r="C525" s="11"/>
      <c r="D525" s="21"/>
      <c r="E525" s="21"/>
      <c r="F525" s="21"/>
      <c r="G525" s="21"/>
      <c r="H525" s="21"/>
      <c r="I525" s="21"/>
      <c r="J525" s="21"/>
      <c r="K525" s="21"/>
      <c r="L525" s="21"/>
      <c r="M525" s="21"/>
      <c r="N525" s="21"/>
      <c r="O525" s="21"/>
      <c r="P525" s="6"/>
      <c r="Q525" s="6"/>
      <c r="R525" s="6"/>
      <c r="S525" s="6"/>
    </row>
    <row r="526" spans="2:19" s="475" customFormat="1" x14ac:dyDescent="0.3">
      <c r="B526" s="491" t="s">
        <v>614</v>
      </c>
      <c r="C526" s="156"/>
      <c r="D526" s="10"/>
      <c r="E526" s="10"/>
      <c r="F526" s="10"/>
      <c r="G526" s="14">
        <v>877229</v>
      </c>
      <c r="H526" s="14">
        <v>946869</v>
      </c>
      <c r="I526" s="14">
        <v>726908</v>
      </c>
      <c r="J526" s="14">
        <v>755391</v>
      </c>
      <c r="K526" s="14">
        <v>537327</v>
      </c>
      <c r="L526" s="14">
        <v>511743</v>
      </c>
      <c r="M526" s="14">
        <v>627166</v>
      </c>
      <c r="N526" s="14">
        <v>235105</v>
      </c>
      <c r="O526" s="14"/>
      <c r="P526" s="6"/>
      <c r="Q526" s="6"/>
      <c r="R526" s="6"/>
      <c r="S526" s="6"/>
    </row>
    <row r="527" spans="2:19" s="6" customFormat="1" x14ac:dyDescent="0.3">
      <c r="B527" s="702" t="s">
        <v>415</v>
      </c>
      <c r="C527" s="690"/>
      <c r="D527" s="14"/>
      <c r="E527" s="14"/>
      <c r="F527" s="475"/>
      <c r="G527" s="14">
        <f>G530+G531</f>
        <v>59653</v>
      </c>
      <c r="H527" s="14">
        <f>H530+H531</f>
        <v>107506</v>
      </c>
      <c r="I527" s="14">
        <f>I530+I531</f>
        <v>209763</v>
      </c>
      <c r="J527" s="14">
        <v>172992</v>
      </c>
      <c r="K527" s="14">
        <v>134173</v>
      </c>
      <c r="L527" s="428">
        <v>119754</v>
      </c>
      <c r="M527" s="428">
        <v>97358</v>
      </c>
      <c r="N527" s="428">
        <v>56732</v>
      </c>
      <c r="O527" s="428"/>
      <c r="P527" s="475"/>
      <c r="Q527" s="475"/>
      <c r="R527" s="475"/>
      <c r="S527" s="475"/>
    </row>
    <row r="528" spans="2:19" s="6" customFormat="1" x14ac:dyDescent="0.3">
      <c r="B528" s="708" t="s">
        <v>656</v>
      </c>
      <c r="C528" s="709"/>
      <c r="D528" s="477"/>
      <c r="E528" s="477"/>
      <c r="F528" s="478"/>
      <c r="G528" s="477">
        <f>0.2*G527</f>
        <v>11930.6</v>
      </c>
      <c r="H528" s="477">
        <f t="shared" ref="H528:N528" si="12">0.2*H527</f>
        <v>21501.200000000001</v>
      </c>
      <c r="I528" s="477">
        <f t="shared" si="12"/>
        <v>41952.600000000006</v>
      </c>
      <c r="J528" s="477">
        <f t="shared" si="12"/>
        <v>34598.400000000001</v>
      </c>
      <c r="K528" s="477">
        <f t="shared" si="12"/>
        <v>26834.600000000002</v>
      </c>
      <c r="L528" s="477">
        <f t="shared" si="12"/>
        <v>23950.800000000003</v>
      </c>
      <c r="M528" s="477">
        <f t="shared" si="12"/>
        <v>19471.600000000002</v>
      </c>
      <c r="N528" s="477">
        <f t="shared" si="12"/>
        <v>11346.400000000001</v>
      </c>
      <c r="O528" s="477"/>
      <c r="P528" s="475"/>
      <c r="Q528" s="475"/>
      <c r="R528" s="475"/>
      <c r="S528" s="475"/>
    </row>
    <row r="529" spans="2:19" s="6" customFormat="1" x14ac:dyDescent="0.3">
      <c r="B529" s="708" t="s">
        <v>842</v>
      </c>
      <c r="C529" s="709"/>
      <c r="D529" s="477"/>
      <c r="E529" s="477"/>
      <c r="F529" s="478"/>
      <c r="G529" s="477">
        <v>12</v>
      </c>
      <c r="H529" s="477">
        <v>21</v>
      </c>
      <c r="I529" s="477">
        <v>42</v>
      </c>
      <c r="J529" s="477">
        <v>35</v>
      </c>
      <c r="K529" s="477">
        <v>27</v>
      </c>
      <c r="L529" s="477">
        <v>24</v>
      </c>
      <c r="M529" s="477">
        <v>20</v>
      </c>
      <c r="N529" s="477">
        <v>11</v>
      </c>
      <c r="O529" s="477"/>
      <c r="P529" s="475"/>
      <c r="Q529" s="475"/>
      <c r="R529" s="475"/>
      <c r="S529" s="475"/>
    </row>
    <row r="530" spans="2:19" s="475" customFormat="1" x14ac:dyDescent="0.3">
      <c r="B530" s="702" t="s">
        <v>414</v>
      </c>
      <c r="C530" s="690"/>
      <c r="D530" s="14"/>
      <c r="E530" s="14"/>
      <c r="G530" s="14">
        <f>26721+8773</f>
        <v>35494</v>
      </c>
      <c r="H530" s="14">
        <f>23195+7576</f>
        <v>30771</v>
      </c>
      <c r="I530" s="14">
        <v>63413</v>
      </c>
      <c r="J530" s="14">
        <v>99322</v>
      </c>
      <c r="K530" s="14">
        <v>72842</v>
      </c>
      <c r="L530" s="14">
        <v>63990</v>
      </c>
      <c r="M530" s="14">
        <v>68792</v>
      </c>
      <c r="N530" s="14">
        <v>54686</v>
      </c>
      <c r="O530" s="14"/>
    </row>
    <row r="531" spans="2:19" s="475" customFormat="1" x14ac:dyDescent="0.3">
      <c r="B531" s="702" t="s">
        <v>413</v>
      </c>
      <c r="C531" s="690"/>
      <c r="D531" s="14"/>
      <c r="E531" s="14"/>
      <c r="G531" s="14">
        <v>24159</v>
      </c>
      <c r="H531" s="14">
        <v>76735</v>
      </c>
      <c r="I531" s="14">
        <v>146350</v>
      </c>
      <c r="J531" s="14">
        <v>73670</v>
      </c>
      <c r="K531" s="14">
        <v>61331</v>
      </c>
      <c r="L531" s="14">
        <v>55764</v>
      </c>
      <c r="M531" s="14">
        <v>28566</v>
      </c>
      <c r="N531" s="14">
        <v>2046</v>
      </c>
      <c r="O531" s="14"/>
    </row>
    <row r="532" spans="2:19" s="475" customFormat="1" x14ac:dyDescent="0.3">
      <c r="B532" s="491" t="s">
        <v>411</v>
      </c>
      <c r="C532" s="490"/>
      <c r="D532" s="14"/>
      <c r="E532" s="14"/>
      <c r="G532" s="42">
        <v>0.86</v>
      </c>
      <c r="H532" s="42">
        <v>0.93</v>
      </c>
      <c r="I532" s="14">
        <v>44394</v>
      </c>
      <c r="J532" s="14">
        <v>58067</v>
      </c>
      <c r="K532" s="14" t="s">
        <v>514</v>
      </c>
      <c r="L532" s="239">
        <f>0.75*L527</f>
        <v>89815.5</v>
      </c>
      <c r="M532" s="239"/>
      <c r="N532" s="239"/>
      <c r="O532" s="239"/>
    </row>
    <row r="533" spans="2:19" s="475" customFormat="1" x14ac:dyDescent="0.3">
      <c r="B533" s="491" t="s">
        <v>412</v>
      </c>
      <c r="C533" s="490"/>
      <c r="D533" s="14"/>
      <c r="E533" s="14"/>
      <c r="G533" s="42">
        <v>0.14000000000000001</v>
      </c>
      <c r="H533" s="42">
        <v>7.0000000000000007E-2</v>
      </c>
      <c r="I533" s="14">
        <v>19019</v>
      </c>
      <c r="J533" s="14">
        <v>41255</v>
      </c>
      <c r="K533" s="14" t="s">
        <v>514</v>
      </c>
      <c r="L533" s="239">
        <f>0.75*L530</f>
        <v>47992.5</v>
      </c>
      <c r="M533" s="239"/>
      <c r="N533" s="239"/>
      <c r="O533" s="239"/>
    </row>
    <row r="534" spans="2:19" s="475" customFormat="1" x14ac:dyDescent="0.3">
      <c r="B534" s="478" t="s">
        <v>655</v>
      </c>
      <c r="C534" s="6"/>
      <c r="D534" s="6"/>
      <c r="E534" s="6"/>
      <c r="F534" s="6"/>
      <c r="G534" s="6"/>
      <c r="H534" s="6"/>
      <c r="I534" s="6"/>
      <c r="J534" s="6"/>
      <c r="K534" s="6"/>
      <c r="P534" s="6"/>
      <c r="Q534" s="6"/>
      <c r="R534" s="6"/>
      <c r="S534" s="6"/>
    </row>
    <row r="535" spans="2:19" s="475" customFormat="1" x14ac:dyDescent="0.3">
      <c r="B535" s="6"/>
      <c r="C535" s="6"/>
      <c r="D535" s="6"/>
      <c r="E535" s="6"/>
      <c r="F535" s="6"/>
      <c r="G535" s="6"/>
      <c r="H535" s="6"/>
      <c r="I535" s="6"/>
      <c r="J535" s="6"/>
      <c r="K535" s="599" t="s">
        <v>774</v>
      </c>
    </row>
    <row r="536" spans="2:19" s="6" customFormat="1" ht="23.4" x14ac:dyDescent="0.45">
      <c r="B536" s="30" t="s">
        <v>419</v>
      </c>
      <c r="C536" s="30"/>
      <c r="D536" s="5"/>
      <c r="E536" s="5"/>
      <c r="F536" s="5"/>
      <c r="G536" s="5"/>
      <c r="H536" s="5"/>
      <c r="I536" s="5"/>
      <c r="J536" s="5"/>
      <c r="K536" s="5"/>
      <c r="L536" s="5"/>
      <c r="M536" s="5"/>
      <c r="N536" s="5"/>
      <c r="O536" s="5"/>
      <c r="P536" s="475"/>
      <c r="Q536" s="475"/>
      <c r="R536" s="475"/>
      <c r="S536" s="475"/>
    </row>
    <row r="537" spans="2:19" s="475" customFormat="1" x14ac:dyDescent="0.3">
      <c r="B537" s="32"/>
      <c r="C537" s="32"/>
      <c r="D537" s="39">
        <v>2007</v>
      </c>
      <c r="E537" s="39">
        <v>2008</v>
      </c>
      <c r="F537" s="39">
        <v>2009</v>
      </c>
      <c r="G537" s="39">
        <v>2010</v>
      </c>
      <c r="H537" s="39">
        <v>2011</v>
      </c>
      <c r="I537" s="39">
        <v>2012</v>
      </c>
      <c r="J537" s="39">
        <v>2013</v>
      </c>
      <c r="K537" s="39">
        <v>2014</v>
      </c>
      <c r="L537" s="39">
        <v>2015</v>
      </c>
      <c r="M537" s="39">
        <v>2016</v>
      </c>
      <c r="N537" s="39">
        <v>2017</v>
      </c>
      <c r="O537" s="39"/>
    </row>
    <row r="538" spans="2:19" s="475" customFormat="1" x14ac:dyDescent="0.3">
      <c r="B538" s="48" t="s">
        <v>421</v>
      </c>
      <c r="C538" s="49" t="s">
        <v>214</v>
      </c>
      <c r="D538" s="50"/>
      <c r="E538" s="51"/>
      <c r="F538" s="51"/>
      <c r="G538" s="151">
        <f>G541/'[1]Bevs(2000-2015)'!N300</f>
        <v>2.5477370416514028E-3</v>
      </c>
      <c r="H538" s="151">
        <f>H541/'[1]Bevs(2000-2015)'!O300</f>
        <v>3.9638250785316922E-2</v>
      </c>
      <c r="I538" s="151">
        <f>I541/'[1]Bevs(2000-2015)'!P300</f>
        <v>0</v>
      </c>
      <c r="J538" s="151">
        <f>J541/'[1]Bevs(2000-2015)'!Q300</f>
        <v>0.15318731076620931</v>
      </c>
      <c r="K538" s="151">
        <f>K541/'[1]Bevs(2000-2015)'!R300</f>
        <v>0.13821040417689118</v>
      </c>
      <c r="L538" s="151">
        <f>L541/L544</f>
        <v>0.15806140501494506</v>
      </c>
      <c r="M538" s="151">
        <f>M541/M544</f>
        <v>0.17217652598286906</v>
      </c>
      <c r="N538" s="151">
        <f>M541/N544</f>
        <v>0.16621235965672473</v>
      </c>
      <c r="O538" s="151"/>
    </row>
    <row r="539" spans="2:19" s="475" customFormat="1" x14ac:dyDescent="0.3">
      <c r="B539" s="693" t="s">
        <v>16</v>
      </c>
      <c r="C539" s="690"/>
      <c r="D539" s="37"/>
      <c r="E539" s="37"/>
      <c r="F539" s="37"/>
      <c r="G539" s="37"/>
      <c r="H539" s="37"/>
      <c r="I539" s="37"/>
      <c r="J539" s="37">
        <v>8</v>
      </c>
      <c r="K539" s="37">
        <v>10</v>
      </c>
      <c r="L539" s="475">
        <v>12</v>
      </c>
      <c r="M539" s="37">
        <v>14</v>
      </c>
      <c r="N539" s="37">
        <v>13</v>
      </c>
      <c r="O539" s="37"/>
      <c r="P539" s="6"/>
      <c r="Q539" s="6"/>
      <c r="R539" s="6"/>
      <c r="S539" s="6"/>
    </row>
    <row r="540" spans="2:19" s="475" customFormat="1" x14ac:dyDescent="0.3">
      <c r="B540" s="491" t="s">
        <v>423</v>
      </c>
      <c r="C540" s="156"/>
      <c r="D540" s="10"/>
      <c r="E540" s="10"/>
      <c r="F540" s="10"/>
      <c r="G540" s="14"/>
      <c r="H540" s="14"/>
      <c r="I540" s="14"/>
      <c r="J540" s="14">
        <v>2334000</v>
      </c>
      <c r="K540" s="14">
        <v>1439000</v>
      </c>
      <c r="L540" s="2">
        <v>1289000</v>
      </c>
      <c r="M540" s="2">
        <v>1027000</v>
      </c>
      <c r="N540" s="2">
        <v>1088000</v>
      </c>
      <c r="O540" s="2"/>
    </row>
    <row r="541" spans="2:19" s="6" customFormat="1" x14ac:dyDescent="0.3">
      <c r="B541" s="702" t="s">
        <v>422</v>
      </c>
      <c r="C541" s="690"/>
      <c r="D541" s="14"/>
      <c r="E541" s="14"/>
      <c r="F541" s="475"/>
      <c r="G541" s="14">
        <f>4100+6858+5+415</f>
        <v>11378</v>
      </c>
      <c r="H541" s="14">
        <f>3885+2339+168354+3760</f>
        <v>178338</v>
      </c>
      <c r="I541" s="14"/>
      <c r="J541" s="14">
        <v>702000</v>
      </c>
      <c r="K541" s="14">
        <v>640000</v>
      </c>
      <c r="L541" s="7">
        <v>740120</v>
      </c>
      <c r="M541" s="7">
        <v>818000</v>
      </c>
      <c r="N541" s="7">
        <v>1418000</v>
      </c>
      <c r="O541" s="7"/>
      <c r="P541" s="475"/>
      <c r="Q541" s="475"/>
      <c r="R541" s="475"/>
      <c r="S541" s="475"/>
    </row>
    <row r="542" spans="2:19" s="6" customFormat="1" x14ac:dyDescent="0.3">
      <c r="B542" s="707" t="s">
        <v>840</v>
      </c>
      <c r="C542" s="704"/>
      <c r="D542" s="14"/>
      <c r="E542" s="14"/>
      <c r="F542" s="475"/>
      <c r="G542" s="158">
        <v>11</v>
      </c>
      <c r="H542" s="158">
        <v>178</v>
      </c>
      <c r="I542" s="158"/>
      <c r="J542" s="158">
        <v>702</v>
      </c>
      <c r="K542" s="158">
        <v>640</v>
      </c>
      <c r="L542" s="158">
        <v>740</v>
      </c>
      <c r="M542" s="158">
        <v>818</v>
      </c>
      <c r="N542" s="158">
        <v>1418</v>
      </c>
      <c r="O542" s="7"/>
      <c r="P542" s="475"/>
      <c r="Q542" s="475"/>
      <c r="R542" s="475"/>
      <c r="S542" s="475"/>
    </row>
    <row r="543" spans="2:19" s="475" customFormat="1" x14ac:dyDescent="0.3">
      <c r="B543" s="491" t="s">
        <v>420</v>
      </c>
      <c r="C543" s="490"/>
      <c r="D543" s="14"/>
      <c r="E543" s="14"/>
      <c r="G543" s="60"/>
      <c r="H543" s="60"/>
      <c r="I543" s="60">
        <v>0.161</v>
      </c>
      <c r="J543" s="60">
        <v>0.21229999999999999</v>
      </c>
      <c r="K543" s="60">
        <v>0.43</v>
      </c>
      <c r="L543" s="60">
        <v>0.57430000000000003</v>
      </c>
      <c r="M543" s="60">
        <v>0.79590000000000005</v>
      </c>
      <c r="N543" s="60">
        <v>1.3028</v>
      </c>
      <c r="O543" s="60"/>
    </row>
    <row r="544" spans="2:19" s="475" customFormat="1" x14ac:dyDescent="0.3">
      <c r="B544" s="491" t="s">
        <v>597</v>
      </c>
      <c r="C544" s="489"/>
      <c r="D544" s="14"/>
      <c r="E544" s="14"/>
      <c r="G544" s="60"/>
      <c r="H544" s="60"/>
      <c r="I544" s="60"/>
      <c r="J544" s="60"/>
      <c r="K544" s="60"/>
      <c r="L544" s="239">
        <v>4682484</v>
      </c>
      <c r="M544" s="239">
        <v>4750938</v>
      </c>
      <c r="N544" s="239">
        <v>4921415</v>
      </c>
      <c r="O544" s="239"/>
    </row>
    <row r="545" spans="2:19" s="475" customFormat="1" x14ac:dyDescent="0.3">
      <c r="B545" s="579"/>
      <c r="C545" s="578"/>
      <c r="D545" s="14"/>
      <c r="E545" s="14"/>
      <c r="G545" s="60"/>
      <c r="H545" s="60"/>
      <c r="I545" s="60"/>
      <c r="J545" s="60"/>
      <c r="K545" s="599" t="s">
        <v>774</v>
      </c>
      <c r="L545" s="239"/>
      <c r="M545" s="239"/>
      <c r="N545" s="239"/>
      <c r="O545" s="239"/>
    </row>
    <row r="546" spans="2:19" s="475" customFormat="1" ht="23.4" x14ac:dyDescent="0.45">
      <c r="B546" s="30" t="s">
        <v>424</v>
      </c>
      <c r="C546" s="30"/>
      <c r="D546" s="5"/>
      <c r="E546" s="5"/>
      <c r="F546" s="5"/>
      <c r="G546" s="5"/>
      <c r="H546" s="5"/>
      <c r="I546" s="5"/>
      <c r="J546" s="5"/>
      <c r="K546" s="5"/>
      <c r="L546" s="5"/>
      <c r="M546" s="5"/>
      <c r="N546" s="5"/>
      <c r="O546" s="5"/>
    </row>
    <row r="547" spans="2:19" s="475" customFormat="1" x14ac:dyDescent="0.3">
      <c r="B547" s="32"/>
      <c r="C547" s="32"/>
      <c r="D547" s="39">
        <v>2007</v>
      </c>
      <c r="E547" s="39">
        <v>2008</v>
      </c>
      <c r="F547" s="39">
        <v>2009</v>
      </c>
      <c r="G547" s="39">
        <v>2010</v>
      </c>
      <c r="H547" s="39">
        <v>2011</v>
      </c>
      <c r="I547" s="39">
        <v>2012</v>
      </c>
      <c r="J547" s="39">
        <v>2013</v>
      </c>
      <c r="K547" s="39">
        <v>2014</v>
      </c>
      <c r="L547" s="39">
        <v>2015</v>
      </c>
      <c r="M547" s="39">
        <v>2016</v>
      </c>
      <c r="N547" s="39">
        <v>2017</v>
      </c>
      <c r="O547" s="39"/>
    </row>
    <row r="548" spans="2:19" s="475" customFormat="1" x14ac:dyDescent="0.3">
      <c r="B548" s="48" t="s">
        <v>421</v>
      </c>
      <c r="C548" s="49" t="s">
        <v>214</v>
      </c>
      <c r="D548" s="50"/>
      <c r="E548" s="51"/>
      <c r="F548" s="51"/>
      <c r="G548" s="151"/>
      <c r="H548" s="151"/>
      <c r="I548" s="151">
        <f>I551/'[1]Bevs(2000-2015)'!P300</f>
        <v>0.15805894012734814</v>
      </c>
      <c r="J548" s="151">
        <f>J551/'[1]Bevs(2000-2015)'!Q300</f>
        <v>7.4334033441531874E-2</v>
      </c>
      <c r="K548" s="151">
        <f>K551/'[1]Bevs(2000-2015)'!R300</f>
        <v>0.16546096085168707</v>
      </c>
      <c r="L548" s="151">
        <f>L551/L554</f>
        <v>0.19029301541660368</v>
      </c>
      <c r="M548" s="151">
        <f>M551/M554</f>
        <v>0.19366765047239093</v>
      </c>
      <c r="N548" s="151">
        <f>N551/N554</f>
        <v>0.17709175105127287</v>
      </c>
      <c r="O548" s="151"/>
    </row>
    <row r="549" spans="2:19" s="475" customFormat="1" x14ac:dyDescent="0.3">
      <c r="B549" s="693" t="s">
        <v>16</v>
      </c>
      <c r="C549" s="690"/>
      <c r="D549" s="37"/>
      <c r="E549" s="37"/>
      <c r="F549" s="37"/>
      <c r="G549" s="37"/>
      <c r="H549" s="37"/>
      <c r="I549" s="37"/>
      <c r="J549" s="37">
        <v>26</v>
      </c>
      <c r="K549" s="37">
        <v>26</v>
      </c>
      <c r="L549" s="475">
        <v>24</v>
      </c>
      <c r="M549" s="37">
        <v>25</v>
      </c>
      <c r="N549" s="37">
        <v>25</v>
      </c>
      <c r="O549" s="37"/>
      <c r="P549" s="6"/>
      <c r="Q549" s="6"/>
      <c r="R549" s="6"/>
      <c r="S549" s="6"/>
    </row>
    <row r="550" spans="2:19" s="475" customFormat="1" x14ac:dyDescent="0.3">
      <c r="B550" s="491" t="s">
        <v>425</v>
      </c>
      <c r="C550" s="156"/>
      <c r="D550" s="10"/>
      <c r="E550" s="10"/>
      <c r="F550" s="10"/>
      <c r="G550" s="14"/>
      <c r="H550" s="14"/>
      <c r="I550" s="14">
        <v>984619</v>
      </c>
      <c r="J550" s="14">
        <v>480538</v>
      </c>
      <c r="K550" s="14">
        <v>1096801</v>
      </c>
      <c r="L550" s="14">
        <v>1164691</v>
      </c>
      <c r="M550" s="14">
        <v>1174728</v>
      </c>
      <c r="N550" s="2">
        <v>879550</v>
      </c>
      <c r="O550" s="2"/>
    </row>
    <row r="551" spans="2:19" s="6" customFormat="1" x14ac:dyDescent="0.3">
      <c r="B551" s="702" t="s">
        <v>426</v>
      </c>
      <c r="C551" s="690"/>
      <c r="D551" s="14"/>
      <c r="E551" s="14"/>
      <c r="F551" s="475"/>
      <c r="G551" s="14"/>
      <c r="H551" s="14"/>
      <c r="I551" s="14">
        <v>717984</v>
      </c>
      <c r="J551" s="14">
        <v>340645</v>
      </c>
      <c r="K551" s="14">
        <v>766187</v>
      </c>
      <c r="L551" s="14">
        <v>891044</v>
      </c>
      <c r="M551" s="14">
        <v>920103</v>
      </c>
      <c r="N551" s="7">
        <v>871542</v>
      </c>
      <c r="O551" s="7"/>
      <c r="P551" s="475"/>
      <c r="Q551" s="475"/>
      <c r="R551" s="475"/>
      <c r="S551" s="475"/>
    </row>
    <row r="552" spans="2:19" s="6" customFormat="1" x14ac:dyDescent="0.3">
      <c r="B552" s="707" t="s">
        <v>839</v>
      </c>
      <c r="C552" s="704"/>
      <c r="D552" s="14"/>
      <c r="E552" s="14"/>
      <c r="F552" s="475"/>
      <c r="G552" s="14"/>
      <c r="H552" s="14"/>
      <c r="I552" s="158">
        <v>718</v>
      </c>
      <c r="J552" s="158">
        <v>341</v>
      </c>
      <c r="K552" s="158">
        <v>766</v>
      </c>
      <c r="L552" s="158">
        <v>891</v>
      </c>
      <c r="M552" s="158">
        <v>920</v>
      </c>
      <c r="N552" s="158">
        <v>871</v>
      </c>
      <c r="O552" s="7"/>
      <c r="P552" s="475"/>
      <c r="Q552" s="475"/>
      <c r="R552" s="475"/>
      <c r="S552" s="475"/>
    </row>
    <row r="553" spans="2:19" s="475" customFormat="1" x14ac:dyDescent="0.3">
      <c r="B553" s="491" t="s">
        <v>427</v>
      </c>
      <c r="C553" s="490"/>
      <c r="D553" s="14"/>
      <c r="E553" s="14"/>
      <c r="G553" s="60"/>
      <c r="H553" s="60"/>
      <c r="I553" s="60">
        <f>I551/I550</f>
        <v>0.72919982246940185</v>
      </c>
      <c r="J553" s="60">
        <f>J551/J550</f>
        <v>0.70888254414843366</v>
      </c>
      <c r="K553" s="163">
        <v>0.7</v>
      </c>
      <c r="L553" s="163">
        <v>0.77</v>
      </c>
      <c r="M553" s="163">
        <v>0.78</v>
      </c>
      <c r="N553" s="60">
        <v>0.99</v>
      </c>
      <c r="O553" s="60"/>
    </row>
    <row r="554" spans="2:19" s="475" customFormat="1" x14ac:dyDescent="0.3">
      <c r="B554" s="491" t="s">
        <v>597</v>
      </c>
      <c r="C554" s="489"/>
      <c r="D554" s="14"/>
      <c r="E554" s="14"/>
      <c r="G554" s="60"/>
      <c r="H554" s="60"/>
      <c r="I554" s="60"/>
      <c r="J554" s="60"/>
      <c r="K554" s="60"/>
      <c r="L554" s="239">
        <v>4682484</v>
      </c>
      <c r="M554" s="239">
        <v>4750938</v>
      </c>
      <c r="N554" s="239">
        <v>4921415</v>
      </c>
      <c r="O554" s="239"/>
    </row>
    <row r="555" spans="2:19" s="475" customFormat="1" x14ac:dyDescent="0.3">
      <c r="B555" s="579"/>
      <c r="C555" s="578"/>
      <c r="D555" s="14"/>
      <c r="E555" s="14"/>
      <c r="G555" s="60"/>
      <c r="H555" s="60"/>
      <c r="I555" s="60"/>
      <c r="J555" s="60"/>
      <c r="K555" s="599" t="s">
        <v>774</v>
      </c>
      <c r="L555" s="239"/>
      <c r="M555" s="239"/>
      <c r="N555" s="239"/>
      <c r="O555" s="239"/>
    </row>
    <row r="556" spans="2:19" s="475" customFormat="1" ht="23.4" x14ac:dyDescent="0.45">
      <c r="B556" s="30" t="s">
        <v>532</v>
      </c>
      <c r="C556" s="30"/>
      <c r="D556" s="5"/>
      <c r="E556" s="5"/>
      <c r="F556" s="5"/>
      <c r="G556" s="5"/>
      <c r="H556" s="5"/>
      <c r="I556" s="5"/>
      <c r="J556" s="5"/>
      <c r="K556" s="5"/>
    </row>
    <row r="557" spans="2:19" s="475" customFormat="1" x14ac:dyDescent="0.3">
      <c r="B557" s="32"/>
      <c r="C557" s="32"/>
      <c r="D557" s="39">
        <v>2007</v>
      </c>
      <c r="E557" s="39">
        <v>2008</v>
      </c>
      <c r="F557" s="39">
        <v>2009</v>
      </c>
      <c r="G557" s="39">
        <v>2010</v>
      </c>
      <c r="H557" s="39">
        <v>2011</v>
      </c>
      <c r="I557" s="39">
        <v>2012</v>
      </c>
      <c r="J557" s="39">
        <v>2013</v>
      </c>
      <c r="K557" s="39">
        <v>2014</v>
      </c>
    </row>
    <row r="558" spans="2:19" s="475" customFormat="1" x14ac:dyDescent="0.3">
      <c r="B558" s="48" t="s">
        <v>421</v>
      </c>
      <c r="C558" s="49" t="s">
        <v>214</v>
      </c>
      <c r="D558" s="50"/>
      <c r="E558" s="51"/>
      <c r="F558" s="51"/>
      <c r="G558" s="151"/>
      <c r="H558" s="151"/>
      <c r="I558" s="151">
        <f>I561/'[1]Bevs(2000-2015)'!P300</f>
        <v>0.93900373978427776</v>
      </c>
      <c r="J558" s="151"/>
      <c r="K558" s="151"/>
    </row>
    <row r="559" spans="2:19" s="475" customFormat="1" x14ac:dyDescent="0.3">
      <c r="B559" s="693" t="s">
        <v>428</v>
      </c>
      <c r="C559" s="690"/>
      <c r="D559" s="37"/>
      <c r="E559" s="37"/>
      <c r="F559" s="37"/>
      <c r="G559" s="37"/>
      <c r="H559" s="37"/>
      <c r="I559" s="37">
        <v>5</v>
      </c>
      <c r="J559" s="151"/>
      <c r="K559" s="151"/>
      <c r="P559" s="6"/>
      <c r="Q559" s="6"/>
      <c r="R559" s="6"/>
      <c r="S559" s="6"/>
    </row>
    <row r="560" spans="2:19" s="475" customFormat="1" x14ac:dyDescent="0.3">
      <c r="B560" s="491" t="s">
        <v>433</v>
      </c>
      <c r="C560" s="156"/>
      <c r="D560" s="10"/>
      <c r="E560" s="10"/>
      <c r="F560" s="10"/>
      <c r="G560" s="14"/>
      <c r="H560" s="14"/>
      <c r="I560" s="14">
        <v>4754004</v>
      </c>
      <c r="J560" s="151"/>
      <c r="K560" s="151"/>
      <c r="P560" s="6"/>
      <c r="Q560" s="6"/>
      <c r="R560" s="6"/>
      <c r="S560" s="6"/>
    </row>
    <row r="561" spans="2:19" s="6" customFormat="1" x14ac:dyDescent="0.3">
      <c r="B561" s="491" t="s">
        <v>434</v>
      </c>
      <c r="C561" s="156"/>
      <c r="D561" s="10"/>
      <c r="E561" s="10"/>
      <c r="F561" s="10"/>
      <c r="G561" s="14"/>
      <c r="H561" s="14"/>
      <c r="I561" s="14">
        <v>4265432</v>
      </c>
      <c r="J561" s="151"/>
      <c r="K561" s="151"/>
    </row>
    <row r="562" spans="2:19" s="6" customFormat="1" x14ac:dyDescent="0.3">
      <c r="B562" s="598" t="s">
        <v>841</v>
      </c>
      <c r="C562" s="156"/>
      <c r="D562" s="157"/>
      <c r="E562" s="157"/>
      <c r="F562" s="157"/>
      <c r="G562" s="158"/>
      <c r="H562" s="158"/>
      <c r="I562" s="158">
        <v>4265</v>
      </c>
      <c r="J562" s="151"/>
      <c r="K562" s="151"/>
    </row>
    <row r="563" spans="2:19" s="6" customFormat="1" x14ac:dyDescent="0.3">
      <c r="B563" s="491" t="s">
        <v>435</v>
      </c>
      <c r="C563" s="156"/>
      <c r="D563" s="10"/>
      <c r="E563" s="10"/>
      <c r="F563" s="10"/>
      <c r="G563" s="14"/>
      <c r="H563" s="14"/>
      <c r="I563" s="60">
        <f>I561/I560</f>
        <v>0.897229367076679</v>
      </c>
      <c r="J563" s="151"/>
      <c r="K563" s="151"/>
      <c r="P563" s="475"/>
      <c r="Q563" s="475"/>
      <c r="R563" s="475"/>
      <c r="S563" s="475"/>
    </row>
    <row r="564" spans="2:19" s="6" customFormat="1" x14ac:dyDescent="0.3">
      <c r="B564" s="702" t="s">
        <v>429</v>
      </c>
      <c r="C564" s="690"/>
      <c r="D564" s="14"/>
      <c r="E564" s="14"/>
      <c r="F564" s="475"/>
      <c r="G564" s="14"/>
      <c r="H564" s="14"/>
      <c r="I564" s="14">
        <v>4728550</v>
      </c>
      <c r="J564" s="151"/>
      <c r="K564" s="151"/>
      <c r="P564" s="475"/>
      <c r="Q564" s="475"/>
      <c r="R564" s="475"/>
      <c r="S564" s="475"/>
    </row>
    <row r="565" spans="2:19" s="475" customFormat="1" x14ac:dyDescent="0.3">
      <c r="B565" s="491" t="s">
        <v>430</v>
      </c>
      <c r="C565" s="490"/>
      <c r="D565" s="14"/>
      <c r="E565" s="14"/>
      <c r="G565" s="60"/>
      <c r="H565" s="60"/>
      <c r="I565" s="14">
        <v>4239979</v>
      </c>
      <c r="J565" s="151"/>
      <c r="K565" s="151"/>
    </row>
    <row r="566" spans="2:19" s="475" customFormat="1" x14ac:dyDescent="0.3">
      <c r="B566" s="491" t="s">
        <v>431</v>
      </c>
      <c r="C566" s="490"/>
      <c r="D566" s="14"/>
      <c r="E566" s="14"/>
      <c r="G566" s="60"/>
      <c r="H566" s="60"/>
      <c r="I566" s="14">
        <v>1324</v>
      </c>
      <c r="J566" s="151"/>
      <c r="K566" s="151"/>
    </row>
    <row r="567" spans="2:19" s="475" customFormat="1" x14ac:dyDescent="0.3">
      <c r="B567" s="491" t="s">
        <v>432</v>
      </c>
      <c r="C567" s="490"/>
      <c r="D567" s="14"/>
      <c r="E567" s="14"/>
      <c r="G567" s="60"/>
      <c r="H567" s="60"/>
      <c r="I567" s="14">
        <v>3359</v>
      </c>
      <c r="J567" s="151"/>
      <c r="K567" s="151"/>
    </row>
    <row r="568" spans="2:19" s="475" customFormat="1" x14ac:dyDescent="0.3">
      <c r="B568" s="491"/>
      <c r="C568" s="489"/>
      <c r="D568" s="14"/>
      <c r="E568" s="14"/>
      <c r="G568" s="60"/>
      <c r="H568" s="60"/>
      <c r="I568" s="14"/>
      <c r="J568" s="60"/>
      <c r="K568" s="60"/>
    </row>
    <row r="569" spans="2:19" s="475" customFormat="1" ht="23.4" x14ac:dyDescent="0.45">
      <c r="B569" s="30" t="s">
        <v>443</v>
      </c>
      <c r="C569" s="30"/>
      <c r="D569" s="5"/>
      <c r="E569" s="5"/>
      <c r="F569" s="5"/>
      <c r="G569" s="5"/>
      <c r="H569" s="5"/>
      <c r="I569" s="5"/>
      <c r="J569" s="5"/>
      <c r="K569" s="5"/>
      <c r="L569" s="5"/>
      <c r="M569" s="5"/>
      <c r="N569" s="5"/>
      <c r="O569" s="5"/>
    </row>
    <row r="570" spans="2:19" s="475" customFormat="1" x14ac:dyDescent="0.3">
      <c r="B570" s="32"/>
      <c r="C570" s="32"/>
      <c r="D570" s="39">
        <v>2007</v>
      </c>
      <c r="E570" s="39">
        <v>2008</v>
      </c>
      <c r="F570" s="39">
        <v>2009</v>
      </c>
      <c r="G570" s="39">
        <v>2010</v>
      </c>
      <c r="H570" s="39">
        <v>2011</v>
      </c>
      <c r="I570" s="39">
        <v>2012</v>
      </c>
      <c r="J570" s="39">
        <v>2013</v>
      </c>
      <c r="K570" s="39">
        <v>2014</v>
      </c>
      <c r="L570" s="39">
        <v>2015</v>
      </c>
      <c r="M570" s="39">
        <v>2016</v>
      </c>
      <c r="N570" s="39">
        <v>2017</v>
      </c>
      <c r="O570" s="39"/>
      <c r="P570" s="6"/>
      <c r="Q570" s="6"/>
      <c r="R570" s="6"/>
      <c r="S570" s="6"/>
    </row>
    <row r="571" spans="2:19" s="475" customFormat="1" x14ac:dyDescent="0.3">
      <c r="B571" s="491" t="s">
        <v>591</v>
      </c>
      <c r="C571" s="156"/>
      <c r="D571" s="10"/>
      <c r="E571" s="10"/>
      <c r="F571" s="10"/>
      <c r="G571" s="14"/>
      <c r="H571" s="14"/>
      <c r="I571" s="60"/>
      <c r="J571" s="60">
        <v>0.81</v>
      </c>
      <c r="K571" s="60">
        <v>0.95389999999999997</v>
      </c>
      <c r="L571" s="60">
        <v>0.94010000000000005</v>
      </c>
      <c r="M571" s="60">
        <v>0.9052</v>
      </c>
      <c r="N571" s="60">
        <v>0.87060000000000004</v>
      </c>
      <c r="O571" s="60"/>
      <c r="P571" s="6"/>
      <c r="Q571" s="6"/>
      <c r="R571" s="6"/>
      <c r="S571" s="6"/>
    </row>
    <row r="572" spans="2:19" s="6" customFormat="1" x14ac:dyDescent="0.3">
      <c r="B572" s="230" t="s">
        <v>445</v>
      </c>
      <c r="C572" s="234"/>
      <c r="D572" s="235"/>
      <c r="E572" s="235"/>
      <c r="F572" s="235"/>
      <c r="G572" s="232"/>
      <c r="H572" s="232"/>
      <c r="I572" s="233"/>
      <c r="J572" s="233">
        <v>0.86</v>
      </c>
      <c r="K572" s="233"/>
      <c r="L572" s="385"/>
      <c r="M572" s="385"/>
      <c r="N572" s="385"/>
      <c r="O572" s="493"/>
    </row>
    <row r="573" spans="2:19" s="6" customFormat="1" x14ac:dyDescent="0.3">
      <c r="B573" s="491" t="s">
        <v>446</v>
      </c>
      <c r="C573" s="156"/>
      <c r="D573" s="10"/>
      <c r="E573" s="10"/>
      <c r="F573" s="10"/>
      <c r="G573" s="14"/>
      <c r="H573" s="14"/>
      <c r="I573" s="60"/>
      <c r="J573" s="14">
        <v>222</v>
      </c>
      <c r="K573" s="14">
        <v>107</v>
      </c>
      <c r="L573" s="6">
        <v>11</v>
      </c>
      <c r="M573" s="14">
        <v>70</v>
      </c>
      <c r="N573" s="14">
        <v>347</v>
      </c>
    </row>
    <row r="574" spans="2:19" s="6" customFormat="1" x14ac:dyDescent="0.3">
      <c r="B574" s="491" t="s">
        <v>447</v>
      </c>
      <c r="C574" s="156"/>
      <c r="D574" s="10"/>
      <c r="E574" s="10"/>
      <c r="F574" s="10"/>
      <c r="G574" s="14"/>
      <c r="H574" s="14"/>
      <c r="I574" s="60"/>
      <c r="J574" s="14">
        <v>264</v>
      </c>
      <c r="K574" s="14">
        <v>0</v>
      </c>
      <c r="L574" s="6">
        <v>139</v>
      </c>
      <c r="M574" s="14">
        <v>50</v>
      </c>
      <c r="N574" s="14">
        <v>86</v>
      </c>
    </row>
    <row r="575" spans="2:19" s="6" customFormat="1" x14ac:dyDescent="0.3">
      <c r="B575" s="491" t="s">
        <v>454</v>
      </c>
      <c r="C575" s="161"/>
      <c r="D575" s="14"/>
      <c r="E575" s="14"/>
      <c r="F575" s="475"/>
      <c r="G575" s="60"/>
      <c r="H575" s="60"/>
      <c r="I575" s="14"/>
      <c r="J575" s="14">
        <v>997</v>
      </c>
      <c r="K575" s="14">
        <v>748</v>
      </c>
      <c r="L575" s="6">
        <v>702</v>
      </c>
      <c r="M575" s="14">
        <v>1142</v>
      </c>
      <c r="N575" s="14">
        <v>1243</v>
      </c>
      <c r="P575" s="475"/>
      <c r="Q575" s="475"/>
      <c r="R575" s="475"/>
      <c r="S575" s="475"/>
    </row>
    <row r="576" spans="2:19" s="6" customFormat="1" x14ac:dyDescent="0.3">
      <c r="B576" s="491" t="s">
        <v>535</v>
      </c>
      <c r="C576" s="161"/>
      <c r="D576" s="14"/>
      <c r="E576" s="14"/>
      <c r="F576" s="475"/>
      <c r="G576" s="60"/>
      <c r="H576" s="60"/>
      <c r="I576" s="14"/>
      <c r="J576" s="14" t="s">
        <v>514</v>
      </c>
      <c r="K576" s="14">
        <v>842</v>
      </c>
      <c r="L576" s="6">
        <v>3220</v>
      </c>
      <c r="M576" s="14">
        <v>2634</v>
      </c>
      <c r="N576" s="14">
        <v>725</v>
      </c>
    </row>
    <row r="577" spans="2:19" s="475" customFormat="1" x14ac:dyDescent="0.3">
      <c r="B577" s="491" t="s">
        <v>538</v>
      </c>
      <c r="C577" s="156"/>
      <c r="D577" s="10"/>
      <c r="E577" s="10"/>
      <c r="F577" s="10"/>
      <c r="G577" s="14"/>
      <c r="H577" s="14"/>
      <c r="I577" s="60"/>
      <c r="J577" s="14">
        <v>126</v>
      </c>
      <c r="K577" s="14"/>
      <c r="P577" s="6"/>
      <c r="Q577" s="6"/>
      <c r="R577" s="6"/>
      <c r="S577" s="6"/>
    </row>
    <row r="578" spans="2:19" s="6" customFormat="1" x14ac:dyDescent="0.3">
      <c r="B578" s="230" t="s">
        <v>459</v>
      </c>
      <c r="C578" s="234"/>
      <c r="D578" s="235"/>
      <c r="E578" s="235"/>
      <c r="F578" s="235"/>
      <c r="G578" s="232"/>
      <c r="H578" s="232"/>
      <c r="I578" s="233"/>
      <c r="J578" s="232">
        <v>20</v>
      </c>
      <c r="K578" s="232"/>
      <c r="L578" s="385"/>
      <c r="M578" s="385"/>
      <c r="N578" s="385"/>
      <c r="O578" s="493"/>
    </row>
    <row r="579" spans="2:19" s="6" customFormat="1" x14ac:dyDescent="0.3">
      <c r="B579" s="491" t="s">
        <v>448</v>
      </c>
      <c r="C579" s="156"/>
      <c r="D579" s="10"/>
      <c r="E579" s="10"/>
      <c r="F579" s="10"/>
      <c r="G579" s="14"/>
      <c r="H579" s="14"/>
      <c r="I579" s="60"/>
      <c r="J579" s="14">
        <v>99</v>
      </c>
      <c r="K579" s="14">
        <v>161</v>
      </c>
      <c r="L579" s="6">
        <v>3</v>
      </c>
      <c r="M579" s="14">
        <v>56</v>
      </c>
      <c r="N579" s="14">
        <v>227</v>
      </c>
    </row>
    <row r="580" spans="2:19" s="6" customFormat="1" x14ac:dyDescent="0.3">
      <c r="B580" s="491" t="s">
        <v>449</v>
      </c>
      <c r="C580" s="156"/>
      <c r="D580" s="10"/>
      <c r="E580" s="10"/>
      <c r="F580" s="10"/>
      <c r="G580" s="14"/>
      <c r="H580" s="14"/>
      <c r="I580" s="60"/>
      <c r="J580" s="14">
        <v>99</v>
      </c>
      <c r="K580" s="14">
        <v>41</v>
      </c>
      <c r="L580" s="6">
        <v>0</v>
      </c>
      <c r="M580" s="14">
        <v>0</v>
      </c>
      <c r="N580" s="14">
        <v>1</v>
      </c>
    </row>
    <row r="581" spans="2:19" s="6" customFormat="1" x14ac:dyDescent="0.3">
      <c r="B581" s="491" t="s">
        <v>455</v>
      </c>
      <c r="C581" s="161"/>
      <c r="D581" s="14"/>
      <c r="E581" s="14"/>
      <c r="F581" s="475"/>
      <c r="G581" s="60"/>
      <c r="H581" s="60"/>
      <c r="I581" s="14"/>
      <c r="J581" s="14">
        <v>233</v>
      </c>
      <c r="K581" s="14">
        <v>1174</v>
      </c>
      <c r="L581" s="6">
        <v>1013</v>
      </c>
      <c r="M581" s="6">
        <v>885</v>
      </c>
      <c r="N581" s="14">
        <v>697</v>
      </c>
      <c r="P581" s="475"/>
      <c r="Q581" s="475"/>
      <c r="R581" s="475"/>
      <c r="S581" s="475"/>
    </row>
    <row r="582" spans="2:19" s="6" customFormat="1" x14ac:dyDescent="0.3">
      <c r="B582" s="491" t="s">
        <v>534</v>
      </c>
      <c r="C582" s="161"/>
      <c r="D582" s="14"/>
      <c r="E582" s="14"/>
      <c r="F582" s="475"/>
      <c r="G582" s="60"/>
      <c r="H582" s="60"/>
      <c r="I582" s="14"/>
      <c r="J582" s="14" t="s">
        <v>514</v>
      </c>
      <c r="K582" s="14">
        <v>2756</v>
      </c>
      <c r="L582" s="6">
        <v>494</v>
      </c>
      <c r="M582" s="7">
        <v>1062</v>
      </c>
      <c r="N582" s="7">
        <v>116</v>
      </c>
    </row>
    <row r="583" spans="2:19" s="475" customFormat="1" x14ac:dyDescent="0.3">
      <c r="B583" s="491" t="s">
        <v>457</v>
      </c>
      <c r="C583" s="156"/>
      <c r="D583" s="10"/>
      <c r="E583" s="10"/>
      <c r="F583" s="10"/>
      <c r="G583" s="14"/>
      <c r="H583" s="14"/>
      <c r="I583" s="60"/>
      <c r="J583" s="14">
        <v>68</v>
      </c>
      <c r="K583" s="14"/>
      <c r="P583" s="6"/>
      <c r="Q583" s="6"/>
      <c r="R583" s="6"/>
      <c r="S583" s="6"/>
    </row>
    <row r="584" spans="2:19" s="6" customFormat="1" x14ac:dyDescent="0.3">
      <c r="B584" s="230" t="s">
        <v>460</v>
      </c>
      <c r="C584" s="234"/>
      <c r="D584" s="235"/>
      <c r="E584" s="235"/>
      <c r="F584" s="235"/>
      <c r="G584" s="232"/>
      <c r="H584" s="232"/>
      <c r="I584" s="233"/>
      <c r="J584" s="232">
        <v>11</v>
      </c>
      <c r="K584" s="232"/>
      <c r="L584" s="385"/>
      <c r="M584" s="385"/>
      <c r="N584" s="385"/>
      <c r="O584" s="493"/>
    </row>
    <row r="585" spans="2:19" s="6" customFormat="1" x14ac:dyDescent="0.3">
      <c r="B585" s="491" t="s">
        <v>450</v>
      </c>
      <c r="C585" s="156"/>
      <c r="D585" s="10"/>
      <c r="E585" s="10"/>
      <c r="F585" s="10"/>
      <c r="G585" s="14"/>
      <c r="H585" s="14"/>
      <c r="I585" s="14"/>
      <c r="J585" s="14">
        <v>92</v>
      </c>
      <c r="K585" s="14">
        <v>36</v>
      </c>
      <c r="L585" s="6">
        <v>62</v>
      </c>
      <c r="M585" s="148">
        <v>19</v>
      </c>
      <c r="N585" s="7">
        <v>153</v>
      </c>
    </row>
    <row r="586" spans="2:19" s="6" customFormat="1" x14ac:dyDescent="0.3">
      <c r="B586" s="491" t="s">
        <v>451</v>
      </c>
      <c r="C586" s="156"/>
      <c r="D586" s="10"/>
      <c r="E586" s="10"/>
      <c r="F586" s="10"/>
      <c r="G586" s="14"/>
      <c r="H586" s="14"/>
      <c r="I586" s="14"/>
      <c r="J586" s="14">
        <v>24</v>
      </c>
      <c r="K586" s="14">
        <v>24</v>
      </c>
      <c r="L586" s="6">
        <v>5</v>
      </c>
      <c r="M586" s="148">
        <v>7</v>
      </c>
      <c r="N586" s="148">
        <v>3</v>
      </c>
    </row>
    <row r="587" spans="2:19" s="6" customFormat="1" x14ac:dyDescent="0.3">
      <c r="B587" s="491" t="s">
        <v>456</v>
      </c>
      <c r="C587" s="161"/>
      <c r="D587" s="14"/>
      <c r="E587" s="14"/>
      <c r="F587" s="475"/>
      <c r="G587" s="60"/>
      <c r="H587" s="60"/>
      <c r="I587" s="14"/>
      <c r="J587" s="14">
        <v>253</v>
      </c>
      <c r="K587" s="14">
        <v>389</v>
      </c>
      <c r="L587" s="6">
        <v>892</v>
      </c>
      <c r="M587" s="148">
        <v>368</v>
      </c>
      <c r="N587" s="148">
        <v>733</v>
      </c>
      <c r="P587" s="475"/>
      <c r="Q587" s="475"/>
      <c r="R587" s="475"/>
      <c r="S587" s="475"/>
    </row>
    <row r="588" spans="2:19" s="6" customFormat="1" x14ac:dyDescent="0.3">
      <c r="B588" s="491" t="s">
        <v>536</v>
      </c>
      <c r="C588" s="161"/>
      <c r="D588" s="14"/>
      <c r="E588" s="14"/>
      <c r="F588" s="475"/>
      <c r="G588" s="60"/>
      <c r="H588" s="60"/>
      <c r="I588" s="14"/>
      <c r="J588" s="14" t="s">
        <v>514</v>
      </c>
      <c r="K588" s="14">
        <v>318</v>
      </c>
      <c r="L588" s="6">
        <v>468</v>
      </c>
      <c r="M588" s="148">
        <v>585</v>
      </c>
      <c r="N588" s="148">
        <v>188</v>
      </c>
      <c r="P588" s="475"/>
      <c r="Q588" s="475"/>
      <c r="R588" s="475"/>
      <c r="S588" s="475"/>
    </row>
    <row r="589" spans="2:19" s="475" customFormat="1" x14ac:dyDescent="0.3">
      <c r="B589" s="491" t="s">
        <v>458</v>
      </c>
      <c r="C589" s="161"/>
      <c r="D589" s="14"/>
      <c r="E589" s="14"/>
      <c r="G589" s="60"/>
      <c r="H589" s="60"/>
      <c r="I589" s="14"/>
      <c r="J589" s="14">
        <v>11</v>
      </c>
      <c r="K589" s="14"/>
    </row>
    <row r="590" spans="2:19" s="475" customFormat="1" x14ac:dyDescent="0.3">
      <c r="B590" s="230" t="s">
        <v>461</v>
      </c>
      <c r="C590" s="231"/>
      <c r="D590" s="232"/>
      <c r="E590" s="232"/>
      <c r="F590" s="217"/>
      <c r="G590" s="233"/>
      <c r="H590" s="233"/>
      <c r="I590" s="232"/>
      <c r="J590" s="232">
        <v>3</v>
      </c>
      <c r="K590" s="232"/>
      <c r="L590" s="217"/>
      <c r="M590" s="217"/>
      <c r="N590" s="217"/>
      <c r="O590" s="52"/>
    </row>
    <row r="591" spans="2:19" s="475" customFormat="1" x14ac:dyDescent="0.3">
      <c r="B591" s="491" t="s">
        <v>533</v>
      </c>
      <c r="C591" s="161"/>
      <c r="D591" s="14"/>
      <c r="E591" s="14"/>
      <c r="G591" s="60"/>
      <c r="H591" s="60"/>
      <c r="I591" s="14"/>
      <c r="J591" s="14"/>
      <c r="K591" s="14">
        <v>6292</v>
      </c>
      <c r="L591" s="475">
        <v>6923</v>
      </c>
      <c r="M591" s="475">
        <v>6869</v>
      </c>
      <c r="N591" s="148">
        <v>4893</v>
      </c>
    </row>
    <row r="592" spans="2:19" s="475" customFormat="1" ht="28.8" x14ac:dyDescent="0.3">
      <c r="B592" s="386" t="s">
        <v>590</v>
      </c>
      <c r="C592" s="161"/>
      <c r="D592" s="14"/>
      <c r="E592" s="14"/>
      <c r="G592" s="60"/>
      <c r="H592" s="60"/>
      <c r="I592" s="14"/>
      <c r="J592" s="14"/>
      <c r="K592" s="14">
        <v>5259</v>
      </c>
      <c r="L592" s="475">
        <v>7364</v>
      </c>
      <c r="M592" s="2">
        <v>7352</v>
      </c>
      <c r="N592" s="148">
        <v>5620</v>
      </c>
    </row>
    <row r="593" spans="2:19" s="475" customFormat="1" x14ac:dyDescent="0.3">
      <c r="B593" s="491" t="s">
        <v>452</v>
      </c>
      <c r="C593" s="490"/>
      <c r="D593" s="14"/>
      <c r="E593" s="14"/>
      <c r="G593" s="14"/>
      <c r="H593" s="14"/>
      <c r="I593" s="14"/>
      <c r="J593" s="14">
        <f>J573+J579+J585</f>
        <v>413</v>
      </c>
      <c r="K593" s="14">
        <v>304</v>
      </c>
      <c r="L593" s="475">
        <v>76</v>
      </c>
      <c r="M593" s="475">
        <v>145</v>
      </c>
      <c r="N593" s="14">
        <v>727</v>
      </c>
    </row>
    <row r="594" spans="2:19" s="475" customFormat="1" x14ac:dyDescent="0.3">
      <c r="B594" s="160" t="s">
        <v>453</v>
      </c>
      <c r="C594" s="161"/>
      <c r="D594" s="14"/>
      <c r="E594" s="14"/>
      <c r="G594" s="60"/>
      <c r="H594" s="60"/>
      <c r="I594" s="14"/>
      <c r="J594" s="14">
        <f>J574+J580+J586</f>
        <v>387</v>
      </c>
      <c r="K594" s="14">
        <v>65</v>
      </c>
      <c r="L594" s="475">
        <v>134</v>
      </c>
      <c r="M594" s="475">
        <v>57</v>
      </c>
      <c r="N594" s="14">
        <v>90</v>
      </c>
    </row>
    <row r="595" spans="2:19" s="475" customFormat="1" x14ac:dyDescent="0.3">
      <c r="B595" s="491" t="s">
        <v>462</v>
      </c>
      <c r="C595" s="161"/>
      <c r="D595" s="14"/>
      <c r="E595" s="14"/>
      <c r="G595" s="60"/>
      <c r="H595" s="60"/>
      <c r="I595" s="14"/>
      <c r="J595" s="14">
        <f>J575+J581+J587</f>
        <v>1483</v>
      </c>
      <c r="K595" s="14">
        <v>2311</v>
      </c>
      <c r="L595" s="475">
        <v>2607</v>
      </c>
      <c r="M595" s="475">
        <v>2395</v>
      </c>
      <c r="N595" s="14">
        <v>2673</v>
      </c>
    </row>
    <row r="596" spans="2:19" s="475" customFormat="1" x14ac:dyDescent="0.3">
      <c r="B596" s="491" t="s">
        <v>537</v>
      </c>
      <c r="C596" s="161"/>
      <c r="D596" s="14"/>
      <c r="E596" s="14"/>
      <c r="G596" s="60"/>
      <c r="H596" s="60"/>
      <c r="I596" s="14"/>
      <c r="J596" s="14" t="s">
        <v>514</v>
      </c>
      <c r="K596" s="14">
        <v>3916</v>
      </c>
      <c r="L596" s="475">
        <v>4182</v>
      </c>
      <c r="M596" s="475">
        <v>4281</v>
      </c>
      <c r="N596" s="14">
        <v>1029</v>
      </c>
    </row>
    <row r="597" spans="2:19" s="475" customFormat="1" x14ac:dyDescent="0.3">
      <c r="B597" s="491" t="s">
        <v>463</v>
      </c>
      <c r="C597" s="161"/>
      <c r="D597" s="14"/>
      <c r="E597" s="14"/>
      <c r="G597" s="60"/>
      <c r="H597" s="60"/>
      <c r="I597" s="14"/>
      <c r="J597" s="14">
        <v>207</v>
      </c>
      <c r="K597" s="480" t="s">
        <v>589</v>
      </c>
      <c r="L597" s="480" t="s">
        <v>589</v>
      </c>
      <c r="M597" s="480" t="s">
        <v>589</v>
      </c>
      <c r="N597" s="480" t="s">
        <v>589</v>
      </c>
      <c r="O597" s="480"/>
    </row>
    <row r="598" spans="2:19" s="475" customFormat="1" x14ac:dyDescent="0.3">
      <c r="B598" s="491" t="s">
        <v>464</v>
      </c>
      <c r="C598" s="161"/>
      <c r="D598" s="14"/>
      <c r="E598" s="14"/>
      <c r="G598" s="60"/>
      <c r="H598" s="60"/>
      <c r="I598" s="14"/>
      <c r="J598" s="14">
        <v>35</v>
      </c>
      <c r="K598" s="480" t="s">
        <v>589</v>
      </c>
      <c r="L598" s="480" t="s">
        <v>589</v>
      </c>
      <c r="M598" s="480" t="s">
        <v>589</v>
      </c>
      <c r="N598" s="480" t="s">
        <v>589</v>
      </c>
      <c r="O598" s="480"/>
    </row>
    <row r="599" spans="2:19" s="475" customFormat="1" x14ac:dyDescent="0.3">
      <c r="C599" s="489"/>
      <c r="D599" s="14"/>
      <c r="E599" s="14"/>
      <c r="G599" s="60"/>
      <c r="H599" s="60"/>
      <c r="I599" s="14"/>
      <c r="J599" s="60"/>
      <c r="K599" s="598" t="s">
        <v>774</v>
      </c>
    </row>
    <row r="600" spans="2:19" s="475" customFormat="1" ht="23.4" x14ac:dyDescent="0.45">
      <c r="B600" s="30" t="s">
        <v>779</v>
      </c>
      <c r="C600" s="30"/>
      <c r="D600" s="5"/>
      <c r="E600" s="5"/>
      <c r="F600" s="5"/>
      <c r="G600" s="5"/>
      <c r="H600" s="5"/>
      <c r="I600" s="5"/>
      <c r="J600" s="5"/>
      <c r="K600" s="5"/>
      <c r="L600" s="5"/>
      <c r="M600" s="5"/>
      <c r="N600" s="5"/>
      <c r="O600" s="5"/>
    </row>
    <row r="601" spans="2:19" s="475" customFormat="1" x14ac:dyDescent="0.3">
      <c r="B601" s="32"/>
      <c r="C601" s="32"/>
      <c r="D601" s="39">
        <v>2007</v>
      </c>
      <c r="E601" s="39">
        <v>2008</v>
      </c>
      <c r="F601" s="39">
        <v>2009</v>
      </c>
      <c r="G601" s="39">
        <v>2010</v>
      </c>
      <c r="H601" s="39">
        <v>2011</v>
      </c>
      <c r="I601" s="39">
        <v>2012</v>
      </c>
      <c r="J601" s="39">
        <v>2013</v>
      </c>
      <c r="K601" s="39">
        <v>2014</v>
      </c>
      <c r="L601" s="39">
        <v>2015</v>
      </c>
      <c r="M601" s="39">
        <v>2016</v>
      </c>
      <c r="N601" s="39"/>
      <c r="O601" s="39"/>
    </row>
    <row r="602" spans="2:19" s="475" customFormat="1" x14ac:dyDescent="0.3">
      <c r="B602" s="693" t="s">
        <v>436</v>
      </c>
      <c r="C602" s="690"/>
      <c r="D602" s="37"/>
      <c r="E602" s="37"/>
      <c r="F602" s="37"/>
      <c r="G602" s="37"/>
      <c r="H602" s="37"/>
      <c r="I602" s="37">
        <v>0</v>
      </c>
      <c r="J602" s="37">
        <v>0</v>
      </c>
      <c r="K602" s="37">
        <v>0</v>
      </c>
      <c r="L602" s="37">
        <v>0</v>
      </c>
      <c r="M602" s="37">
        <v>0</v>
      </c>
      <c r="N602" s="37"/>
      <c r="O602" s="37"/>
    </row>
    <row r="603" spans="2:19" s="475" customFormat="1" x14ac:dyDescent="0.3">
      <c r="B603" s="489" t="s">
        <v>539</v>
      </c>
      <c r="C603" s="490"/>
      <c r="D603" s="37"/>
      <c r="E603" s="37"/>
      <c r="F603" s="37"/>
      <c r="G603" s="37"/>
      <c r="H603" s="37"/>
      <c r="I603" s="37">
        <v>0</v>
      </c>
      <c r="J603" s="37">
        <v>0</v>
      </c>
      <c r="K603" s="236">
        <v>1</v>
      </c>
      <c r="L603" s="507">
        <v>0.71</v>
      </c>
      <c r="M603" s="507">
        <v>0.75</v>
      </c>
      <c r="N603" s="507"/>
      <c r="O603" s="507"/>
      <c r="P603" s="6"/>
      <c r="Q603" s="6"/>
      <c r="R603" s="6"/>
      <c r="S603" s="6"/>
    </row>
    <row r="604" spans="2:19" s="475" customFormat="1" x14ac:dyDescent="0.3">
      <c r="B604" s="491" t="s">
        <v>437</v>
      </c>
      <c r="C604" s="156"/>
      <c r="D604" s="10"/>
      <c r="E604" s="10"/>
      <c r="F604" s="10"/>
      <c r="G604" s="14"/>
      <c r="H604" s="14"/>
      <c r="I604" s="60">
        <v>0.94</v>
      </c>
      <c r="J604" s="60">
        <v>0.94</v>
      </c>
      <c r="K604" s="60">
        <v>0</v>
      </c>
      <c r="L604" s="60">
        <v>0</v>
      </c>
      <c r="M604" s="60">
        <v>0</v>
      </c>
      <c r="N604" s="60"/>
      <c r="O604" s="60"/>
      <c r="P604" s="6"/>
      <c r="Q604" s="6"/>
      <c r="R604" s="6"/>
      <c r="S604" s="6"/>
    </row>
    <row r="605" spans="2:19" s="6" customFormat="1" x14ac:dyDescent="0.3">
      <c r="B605" s="491" t="s">
        <v>438</v>
      </c>
      <c r="C605" s="156"/>
      <c r="D605" s="10"/>
      <c r="E605" s="10"/>
      <c r="F605" s="10"/>
      <c r="G605" s="14"/>
      <c r="H605" s="14"/>
      <c r="I605" s="60">
        <v>0.06</v>
      </c>
      <c r="J605" s="60">
        <v>0.06</v>
      </c>
      <c r="K605" s="60">
        <v>0</v>
      </c>
      <c r="L605" s="60">
        <v>0</v>
      </c>
      <c r="M605" s="60">
        <v>0</v>
      </c>
      <c r="N605" s="60"/>
      <c r="O605" s="60"/>
    </row>
    <row r="606" spans="2:19" s="6" customFormat="1" x14ac:dyDescent="0.3">
      <c r="B606" s="491" t="s">
        <v>440</v>
      </c>
      <c r="C606" s="156"/>
      <c r="D606" s="10"/>
      <c r="E606" s="10"/>
      <c r="F606" s="10"/>
      <c r="G606" s="14"/>
      <c r="H606" s="14"/>
      <c r="I606" s="14">
        <v>3</v>
      </c>
      <c r="J606" s="14">
        <v>8</v>
      </c>
      <c r="K606" s="14">
        <v>10</v>
      </c>
      <c r="L606" s="14">
        <v>10</v>
      </c>
      <c r="M606" s="14">
        <v>6</v>
      </c>
      <c r="N606" s="14"/>
      <c r="O606" s="14"/>
    </row>
    <row r="607" spans="2:19" s="6" customFormat="1" x14ac:dyDescent="0.3">
      <c r="B607" s="491" t="s">
        <v>439</v>
      </c>
      <c r="C607" s="156"/>
      <c r="D607" s="10"/>
      <c r="E607" s="10"/>
      <c r="F607" s="10"/>
      <c r="G607" s="14"/>
      <c r="H607" s="14"/>
      <c r="I607" s="14">
        <v>1</v>
      </c>
      <c r="J607" s="14">
        <v>3</v>
      </c>
      <c r="K607" s="14">
        <v>4</v>
      </c>
      <c r="L607" s="14">
        <v>7</v>
      </c>
      <c r="M607" s="14">
        <v>4</v>
      </c>
      <c r="N607" s="14"/>
      <c r="O607" s="14"/>
      <c r="P607" s="475"/>
      <c r="Q607" s="475"/>
      <c r="R607" s="475"/>
      <c r="S607" s="475"/>
    </row>
    <row r="608" spans="2:19" s="6" customFormat="1" x14ac:dyDescent="0.3">
      <c r="B608" s="702" t="s">
        <v>441</v>
      </c>
      <c r="C608" s="690"/>
      <c r="D608" s="14"/>
      <c r="E608" s="14"/>
      <c r="F608" s="475"/>
      <c r="G608" s="14"/>
      <c r="H608" s="14"/>
      <c r="I608" s="14">
        <v>1</v>
      </c>
      <c r="J608" s="14">
        <v>3</v>
      </c>
      <c r="K608" s="14">
        <v>4</v>
      </c>
      <c r="L608" s="14">
        <v>5</v>
      </c>
      <c r="M608" s="14">
        <v>5</v>
      </c>
      <c r="N608" s="14"/>
      <c r="O608" s="14"/>
      <c r="P608" s="475"/>
      <c r="Q608" s="475"/>
      <c r="R608" s="475"/>
      <c r="S608" s="475"/>
    </row>
    <row r="609" spans="2:19" s="475" customFormat="1" x14ac:dyDescent="0.3">
      <c r="B609" s="702" t="s">
        <v>442</v>
      </c>
      <c r="C609" s="690"/>
      <c r="D609" s="14"/>
      <c r="E609" s="14"/>
      <c r="G609" s="60"/>
      <c r="H609" s="60"/>
      <c r="I609" s="14">
        <v>0</v>
      </c>
      <c r="J609" s="14">
        <v>0</v>
      </c>
      <c r="K609" s="14">
        <v>0</v>
      </c>
      <c r="L609" s="14">
        <v>0</v>
      </c>
      <c r="M609" s="14">
        <v>0</v>
      </c>
      <c r="N609" s="14"/>
      <c r="O609" s="14"/>
      <c r="P609" s="6"/>
      <c r="Q609" s="6"/>
      <c r="R609" s="6"/>
      <c r="S609" s="6"/>
    </row>
    <row r="610" spans="2:19" s="475" customFormat="1" x14ac:dyDescent="0.3">
      <c r="B610" s="6"/>
      <c r="C610" s="6"/>
      <c r="D610" s="6"/>
      <c r="E610" s="6"/>
      <c r="F610" s="6"/>
      <c r="G610" s="6"/>
      <c r="H610" s="6"/>
      <c r="I610" s="6"/>
      <c r="J610" s="6"/>
      <c r="K610" s="6"/>
    </row>
    <row r="611" spans="2:19" s="6" customFormat="1" ht="23.4" x14ac:dyDescent="0.45">
      <c r="B611" s="162" t="s">
        <v>465</v>
      </c>
      <c r="C611" s="30"/>
      <c r="D611" s="5"/>
      <c r="E611" s="5"/>
      <c r="F611" s="5"/>
      <c r="G611" s="5"/>
      <c r="H611" s="5"/>
      <c r="I611" s="5"/>
      <c r="J611" s="5"/>
      <c r="K611" s="5"/>
      <c r="L611" s="5"/>
      <c r="M611" s="5"/>
      <c r="N611" s="5"/>
      <c r="O611" s="5"/>
      <c r="P611" s="475"/>
      <c r="Q611" s="475"/>
      <c r="R611" s="475"/>
      <c r="S611" s="475"/>
    </row>
    <row r="612" spans="2:19" s="475" customFormat="1" x14ac:dyDescent="0.3">
      <c r="B612" s="32"/>
      <c r="C612" s="32"/>
      <c r="D612" s="39">
        <v>2007</v>
      </c>
      <c r="E612" s="39">
        <v>2008</v>
      </c>
      <c r="F612" s="39">
        <v>2009</v>
      </c>
      <c r="G612" s="39">
        <v>2010</v>
      </c>
      <c r="H612" s="39">
        <v>2011</v>
      </c>
      <c r="I612" s="39">
        <v>2012</v>
      </c>
      <c r="J612" s="39">
        <v>2013</v>
      </c>
      <c r="K612" s="39">
        <v>2014</v>
      </c>
      <c r="L612" s="39">
        <v>2015</v>
      </c>
      <c r="M612" s="39">
        <v>2016</v>
      </c>
      <c r="N612" s="39">
        <v>2017</v>
      </c>
      <c r="O612" s="39"/>
    </row>
    <row r="613" spans="2:19" s="475" customFormat="1" x14ac:dyDescent="0.3">
      <c r="B613" s="11" t="s">
        <v>10</v>
      </c>
      <c r="C613" s="11"/>
      <c r="D613" s="21"/>
      <c r="E613" s="21"/>
      <c r="F613" s="21"/>
      <c r="G613" s="21"/>
      <c r="H613" s="21"/>
      <c r="I613" s="21"/>
      <c r="J613" s="21"/>
      <c r="K613" s="21"/>
      <c r="L613" s="21"/>
      <c r="M613" s="21"/>
      <c r="N613" s="21"/>
      <c r="O613" s="21"/>
    </row>
    <row r="614" spans="2:19" s="475" customFormat="1" x14ac:dyDescent="0.3">
      <c r="B614" s="693" t="s">
        <v>16</v>
      </c>
      <c r="C614" s="690"/>
      <c r="D614" s="37"/>
      <c r="E614" s="37"/>
      <c r="F614" s="37"/>
      <c r="G614" s="37"/>
      <c r="H614" s="37"/>
      <c r="I614" s="37">
        <v>102</v>
      </c>
      <c r="J614" s="37">
        <v>116</v>
      </c>
      <c r="K614" s="37">
        <v>121</v>
      </c>
      <c r="L614" s="37">
        <v>119</v>
      </c>
      <c r="M614" s="37">
        <v>122</v>
      </c>
      <c r="N614" s="37">
        <v>120</v>
      </c>
      <c r="O614" s="37"/>
    </row>
    <row r="615" spans="2:19" s="475" customFormat="1" x14ac:dyDescent="0.3">
      <c r="B615" s="698" t="s">
        <v>466</v>
      </c>
      <c r="C615" s="690"/>
      <c r="D615" s="37"/>
      <c r="E615" s="37"/>
      <c r="F615" s="37"/>
      <c r="G615" s="37"/>
      <c r="H615" s="37"/>
      <c r="I615" s="37"/>
      <c r="J615" s="391">
        <v>0.46</v>
      </c>
      <c r="K615" s="42" t="s">
        <v>514</v>
      </c>
      <c r="L615" s="391">
        <v>0.49</v>
      </c>
      <c r="M615" s="391">
        <v>0.49</v>
      </c>
      <c r="N615" s="391">
        <v>0.26</v>
      </c>
      <c r="O615" s="391"/>
    </row>
    <row r="616" spans="2:19" s="475" customFormat="1" x14ac:dyDescent="0.3">
      <c r="B616" s="698" t="s">
        <v>467</v>
      </c>
      <c r="C616" s="690"/>
      <c r="D616" s="37"/>
      <c r="E616" s="37"/>
      <c r="F616" s="37"/>
      <c r="G616" s="37"/>
      <c r="H616" s="42"/>
      <c r="I616" s="42"/>
      <c r="J616" s="391">
        <v>0.32</v>
      </c>
      <c r="K616" s="42" t="s">
        <v>514</v>
      </c>
      <c r="L616" s="391"/>
      <c r="M616" s="391"/>
      <c r="N616" s="391"/>
      <c r="O616" s="391"/>
    </row>
    <row r="617" spans="2:19" s="475" customFormat="1" x14ac:dyDescent="0.3">
      <c r="B617" s="489" t="s">
        <v>472</v>
      </c>
      <c r="C617" s="489"/>
      <c r="D617" s="37"/>
      <c r="E617" s="37"/>
      <c r="F617" s="37"/>
      <c r="G617" s="37"/>
      <c r="H617" s="42"/>
      <c r="I617" s="42">
        <v>2E-3</v>
      </c>
      <c r="J617" s="42">
        <v>1.1999999999999999E-3</v>
      </c>
      <c r="K617" s="1">
        <v>1.6999999999999999E-3</v>
      </c>
      <c r="L617" s="1">
        <v>1.8E-3</v>
      </c>
      <c r="M617" s="1">
        <v>1.5E-3</v>
      </c>
      <c r="N617" s="602">
        <v>1.3999999999999999E-4</v>
      </c>
      <c r="O617" s="1"/>
    </row>
    <row r="618" spans="2:19" s="475" customFormat="1" x14ac:dyDescent="0.3">
      <c r="B618" s="11" t="s">
        <v>8</v>
      </c>
      <c r="C618" s="11"/>
      <c r="D618" s="21"/>
      <c r="E618" s="21"/>
      <c r="F618" s="21"/>
      <c r="G618" s="21"/>
      <c r="H618" s="21"/>
      <c r="I618" s="21"/>
      <c r="J618" s="21"/>
      <c r="K618" s="21"/>
      <c r="L618" s="21"/>
      <c r="M618" s="21"/>
      <c r="N618" s="21"/>
      <c r="O618" s="21"/>
      <c r="P618" s="6"/>
      <c r="Q618" s="6"/>
      <c r="R618" s="6"/>
      <c r="S618" s="6"/>
    </row>
    <row r="619" spans="2:19" s="475" customFormat="1" x14ac:dyDescent="0.3">
      <c r="B619" s="491" t="s">
        <v>471</v>
      </c>
      <c r="C619" s="156"/>
      <c r="D619" s="10"/>
      <c r="E619" s="10"/>
      <c r="F619" s="10"/>
      <c r="G619" s="14"/>
      <c r="H619" s="14"/>
      <c r="I619" s="14">
        <v>55463</v>
      </c>
      <c r="J619" s="14">
        <v>146912</v>
      </c>
      <c r="K619" s="14">
        <v>168477</v>
      </c>
      <c r="L619" s="14">
        <v>156425</v>
      </c>
      <c r="M619" s="14">
        <v>162230</v>
      </c>
      <c r="N619" s="14">
        <v>196899</v>
      </c>
      <c r="O619" s="14"/>
    </row>
    <row r="620" spans="2:19" s="6" customFormat="1" x14ac:dyDescent="0.3">
      <c r="B620" s="491" t="s">
        <v>468</v>
      </c>
      <c r="C620" s="490"/>
      <c r="D620" s="14"/>
      <c r="E620" s="14"/>
      <c r="F620" s="475"/>
      <c r="G620" s="14"/>
      <c r="H620" s="14"/>
      <c r="I620" s="14">
        <v>40008</v>
      </c>
      <c r="J620" s="14">
        <v>98972</v>
      </c>
      <c r="K620" s="14">
        <v>101772</v>
      </c>
      <c r="L620" s="14">
        <v>101904</v>
      </c>
      <c r="M620" s="14">
        <v>107547</v>
      </c>
      <c r="N620" s="14">
        <v>134601</v>
      </c>
      <c r="O620" s="14"/>
      <c r="P620" s="475"/>
      <c r="Q620" s="475"/>
      <c r="R620" s="475"/>
      <c r="S620" s="475"/>
    </row>
    <row r="621" spans="2:19" s="475" customFormat="1" x14ac:dyDescent="0.3">
      <c r="B621" s="491" t="s">
        <v>469</v>
      </c>
      <c r="C621" s="490"/>
      <c r="D621" s="14"/>
      <c r="E621" s="14"/>
      <c r="G621" s="14"/>
      <c r="H621" s="14"/>
      <c r="I621" s="14">
        <v>4895</v>
      </c>
      <c r="J621" s="14">
        <v>21306</v>
      </c>
      <c r="K621" s="14">
        <v>34968</v>
      </c>
      <c r="L621" s="14">
        <v>24232</v>
      </c>
      <c r="M621" s="14">
        <v>25975</v>
      </c>
      <c r="N621" s="14">
        <v>29214</v>
      </c>
      <c r="O621" s="14"/>
    </row>
    <row r="622" spans="2:19" s="475" customFormat="1" x14ac:dyDescent="0.3">
      <c r="B622" s="491" t="s">
        <v>540</v>
      </c>
      <c r="C622" s="490"/>
      <c r="D622" s="14"/>
      <c r="E622" s="14"/>
      <c r="G622" s="14"/>
      <c r="H622" s="14"/>
      <c r="I622" s="14">
        <v>10560</v>
      </c>
      <c r="J622" s="14">
        <v>26614</v>
      </c>
      <c r="K622" s="14">
        <v>30304</v>
      </c>
      <c r="L622" s="14">
        <v>29360</v>
      </c>
      <c r="M622" s="14">
        <v>28476</v>
      </c>
      <c r="N622" s="14">
        <v>32617</v>
      </c>
      <c r="O622" s="14"/>
    </row>
    <row r="623" spans="2:19" s="475" customFormat="1" x14ac:dyDescent="0.3">
      <c r="B623" s="491" t="s">
        <v>470</v>
      </c>
      <c r="C623" s="490"/>
      <c r="D623" s="14"/>
      <c r="E623" s="14"/>
      <c r="G623" s="14"/>
      <c r="H623" s="14"/>
      <c r="I623" s="14">
        <v>-1</v>
      </c>
      <c r="J623" s="14">
        <v>20</v>
      </c>
      <c r="K623" s="14">
        <v>1433</v>
      </c>
      <c r="L623" s="14">
        <v>929</v>
      </c>
      <c r="M623" s="14">
        <v>232</v>
      </c>
      <c r="N623" s="14">
        <v>467</v>
      </c>
      <c r="O623" s="14"/>
    </row>
    <row r="624" spans="2:19" s="475" customFormat="1" x14ac:dyDescent="0.3">
      <c r="B624" s="11" t="s">
        <v>588</v>
      </c>
      <c r="C624" s="11"/>
      <c r="D624" s="21"/>
      <c r="E624" s="21"/>
      <c r="F624" s="21"/>
      <c r="G624" s="21"/>
      <c r="H624" s="21"/>
      <c r="I624" s="21"/>
      <c r="J624" s="21"/>
      <c r="K624" s="21"/>
      <c r="L624" s="21"/>
      <c r="M624" s="21"/>
      <c r="N624" s="21"/>
      <c r="O624" s="21"/>
    </row>
    <row r="625" spans="2:19" s="475" customFormat="1" x14ac:dyDescent="0.3">
      <c r="B625" s="491" t="s">
        <v>613</v>
      </c>
      <c r="C625" s="490"/>
      <c r="D625" s="14"/>
      <c r="E625" s="14"/>
      <c r="G625" s="14"/>
      <c r="H625" s="14"/>
      <c r="I625" s="14"/>
      <c r="J625" s="14"/>
      <c r="K625" s="14">
        <v>897919</v>
      </c>
      <c r="L625" s="14">
        <v>760457</v>
      </c>
      <c r="M625" s="14">
        <v>762777</v>
      </c>
      <c r="N625" s="14">
        <v>712443</v>
      </c>
      <c r="O625" s="14"/>
    </row>
    <row r="626" spans="2:19" s="475" customFormat="1" x14ac:dyDescent="0.3">
      <c r="B626" s="491" t="s">
        <v>560</v>
      </c>
      <c r="C626" s="490"/>
      <c r="D626" s="14"/>
      <c r="E626" s="14"/>
      <c r="G626" s="14"/>
      <c r="H626" s="14"/>
      <c r="I626" s="14"/>
      <c r="J626" s="14"/>
      <c r="K626" s="14">
        <v>379904</v>
      </c>
      <c r="L626" s="14">
        <v>370947</v>
      </c>
      <c r="M626" s="14">
        <v>367644</v>
      </c>
      <c r="N626" s="14">
        <v>396339</v>
      </c>
      <c r="O626" s="14"/>
    </row>
    <row r="627" spans="2:19" s="475" customFormat="1" x14ac:dyDescent="0.3">
      <c r="B627" s="491" t="s">
        <v>637</v>
      </c>
      <c r="C627" s="490"/>
      <c r="D627" s="14"/>
      <c r="E627" s="14"/>
      <c r="G627" s="14"/>
      <c r="H627" s="14"/>
      <c r="I627" s="14"/>
      <c r="J627" s="14"/>
      <c r="K627" s="14">
        <f>K625-K626</f>
        <v>518015</v>
      </c>
      <c r="L627" s="14">
        <f>L625-L626</f>
        <v>389510</v>
      </c>
      <c r="M627" s="14">
        <f>M625-M626</f>
        <v>395133</v>
      </c>
      <c r="N627" s="14">
        <f>N625-N626</f>
        <v>316104</v>
      </c>
      <c r="O627" s="14"/>
    </row>
    <row r="628" spans="2:19" s="475" customFormat="1" x14ac:dyDescent="0.3">
      <c r="B628" s="579"/>
      <c r="C628" s="577"/>
      <c r="D628" s="14"/>
      <c r="E628" s="14"/>
      <c r="G628" s="14"/>
      <c r="H628" s="14"/>
      <c r="I628" s="14"/>
      <c r="J628" s="14"/>
      <c r="K628" s="14"/>
      <c r="L628" s="14"/>
      <c r="M628" s="14"/>
      <c r="N628" s="14"/>
      <c r="O628" s="14"/>
    </row>
    <row r="629" spans="2:19" s="475" customFormat="1" x14ac:dyDescent="0.3">
      <c r="B629" s="491"/>
      <c r="C629" s="490"/>
      <c r="D629" s="14"/>
      <c r="E629" s="14"/>
      <c r="G629" s="14"/>
      <c r="H629" s="14"/>
      <c r="I629" s="14"/>
      <c r="J629" s="14"/>
      <c r="K629" s="598" t="s">
        <v>774</v>
      </c>
      <c r="P629"/>
      <c r="Q629"/>
    </row>
    <row r="630" spans="2:19" s="475" customFormat="1" ht="23.4" x14ac:dyDescent="0.45">
      <c r="B630" s="30" t="s">
        <v>473</v>
      </c>
      <c r="C630" s="30"/>
      <c r="D630" s="5"/>
      <c r="E630" s="5"/>
      <c r="F630" s="5"/>
      <c r="G630" s="5"/>
      <c r="H630" s="5"/>
      <c r="I630" s="5"/>
      <c r="J630" s="5"/>
      <c r="K630" s="5"/>
      <c r="L630" s="5"/>
      <c r="M630" s="5"/>
      <c r="N630" s="5"/>
      <c r="O630" s="5"/>
      <c r="Q630"/>
    </row>
    <row r="631" spans="2:19" s="475" customFormat="1" ht="29.4" thickBot="1" x14ac:dyDescent="0.35">
      <c r="B631" s="32"/>
      <c r="C631" s="32"/>
      <c r="D631" s="39">
        <v>2007</v>
      </c>
      <c r="E631" s="39">
        <v>2008</v>
      </c>
      <c r="F631" s="39">
        <v>2009</v>
      </c>
      <c r="G631" s="39">
        <v>2010</v>
      </c>
      <c r="H631" s="39">
        <v>2011</v>
      </c>
      <c r="I631" s="39">
        <v>2012</v>
      </c>
      <c r="J631" s="39">
        <v>2013</v>
      </c>
      <c r="K631" s="39">
        <v>2014</v>
      </c>
      <c r="L631" s="39">
        <v>2015</v>
      </c>
      <c r="M631" s="39">
        <v>2016</v>
      </c>
      <c r="N631" s="39">
        <v>2017</v>
      </c>
      <c r="O631" s="39"/>
      <c r="P631" s="582"/>
      <c r="Q631" s="581" t="s">
        <v>510</v>
      </c>
      <c r="R631" s="581" t="s">
        <v>510</v>
      </c>
      <c r="S631" s="581" t="s">
        <v>510</v>
      </c>
    </row>
    <row r="632" spans="2:19" s="475" customFormat="1" ht="29.4" thickBot="1" x14ac:dyDescent="0.35">
      <c r="B632" s="11" t="s">
        <v>10</v>
      </c>
      <c r="C632" s="11"/>
      <c r="D632" s="21"/>
      <c r="E632" s="21"/>
      <c r="F632" s="21"/>
      <c r="G632" s="21"/>
      <c r="H632" s="21"/>
      <c r="I632" s="21"/>
      <c r="J632" s="21"/>
      <c r="K632" s="21"/>
      <c r="L632" s="21"/>
      <c r="M632" s="21"/>
      <c r="N632" s="21"/>
      <c r="O632" s="21"/>
      <c r="P632" s="581" t="s">
        <v>503</v>
      </c>
      <c r="Q632" s="582" t="s">
        <v>595</v>
      </c>
      <c r="R632" s="582" t="s">
        <v>663</v>
      </c>
      <c r="S632" s="582" t="s">
        <v>725</v>
      </c>
    </row>
    <row r="633" spans="2:19" s="475" customFormat="1" ht="15" thickBot="1" x14ac:dyDescent="0.35">
      <c r="B633" s="9" t="s">
        <v>475</v>
      </c>
      <c r="C633" s="59" t="s">
        <v>233</v>
      </c>
      <c r="D633" s="10"/>
      <c r="E633" s="40"/>
      <c r="F633" s="40"/>
      <c r="G633" s="149"/>
      <c r="H633" s="149"/>
      <c r="I633" s="149"/>
      <c r="J633" s="149">
        <f>J678*1000/'[1]Bevs(2000-2015)'!Q212</f>
        <v>0</v>
      </c>
      <c r="K633" s="149">
        <f>K678*1000/'[1]Bevs(2000-2015)'!R212</f>
        <v>0</v>
      </c>
      <c r="L633" s="149">
        <f>L664/Q633</f>
        <v>2.6904935893177439E-3</v>
      </c>
      <c r="M633" s="508">
        <f>M664*1000/R633</f>
        <v>2.9295921356726669</v>
      </c>
      <c r="N633" s="508">
        <f>N664*1000/S633</f>
        <v>2.6021735802847084</v>
      </c>
      <c r="O633" s="508"/>
      <c r="P633" s="59" t="s">
        <v>233</v>
      </c>
      <c r="Q633" s="191">
        <v>30106</v>
      </c>
      <c r="R633" s="191">
        <v>30721</v>
      </c>
      <c r="S633" s="191">
        <v>32665</v>
      </c>
    </row>
    <row r="634" spans="2:19" s="475" customFormat="1" ht="15" thickBot="1" x14ac:dyDescent="0.35">
      <c r="B634" s="44" t="s">
        <v>475</v>
      </c>
      <c r="C634" s="45" t="s">
        <v>234</v>
      </c>
      <c r="D634" s="19"/>
      <c r="E634" s="47"/>
      <c r="F634" s="47"/>
      <c r="G634" s="150"/>
      <c r="H634" s="150"/>
      <c r="I634" s="150"/>
      <c r="J634" s="150">
        <f>J679*1000/'[1]Bevs(2000-2015)'!Q215</f>
        <v>0</v>
      </c>
      <c r="K634" s="150">
        <f>K679*1000/'[1]Bevs(2000-2015)'!R215</f>
        <v>0</v>
      </c>
      <c r="L634" s="149">
        <f t="shared" ref="L634:L661" si="13">L665/Q634</f>
        <v>7.4505587919093934E-3</v>
      </c>
      <c r="M634" s="508">
        <f t="shared" ref="M634:M661" si="14">M665*1000/R634</f>
        <v>7.5031572691479091</v>
      </c>
      <c r="N634" s="508">
        <f t="shared" ref="N634:N661" si="15">N665*1000/S634</f>
        <v>8.6928120995904834</v>
      </c>
      <c r="O634" s="508"/>
      <c r="P634" s="45" t="s">
        <v>234</v>
      </c>
      <c r="Q634" s="191">
        <v>39997</v>
      </c>
      <c r="R634" s="191">
        <v>40383</v>
      </c>
      <c r="S634" s="191">
        <v>39803</v>
      </c>
    </row>
    <row r="635" spans="2:19" s="475" customFormat="1" ht="15" thickBot="1" x14ac:dyDescent="0.35">
      <c r="B635" s="9" t="s">
        <v>475</v>
      </c>
      <c r="C635" s="59" t="s">
        <v>168</v>
      </c>
      <c r="D635" s="10"/>
      <c r="E635" s="40"/>
      <c r="F635" s="40"/>
      <c r="G635" s="149"/>
      <c r="H635" s="149"/>
      <c r="I635" s="149"/>
      <c r="J635" s="149">
        <f>J680*1000/'[1]Bevs(2000-2015)'!Q218</f>
        <v>0</v>
      </c>
      <c r="K635" s="149">
        <f>K680*1000/'[1]Bevs(2000-2015)'!R218</f>
        <v>0</v>
      </c>
      <c r="L635" s="149">
        <f t="shared" si="13"/>
        <v>4.1581857499424311E-3</v>
      </c>
      <c r="M635" s="508">
        <f t="shared" si="14"/>
        <v>4.474120921480746</v>
      </c>
      <c r="N635" s="508">
        <f t="shared" si="15"/>
        <v>4.1324439719473931</v>
      </c>
      <c r="O635" s="508"/>
      <c r="P635" s="59" t="s">
        <v>168</v>
      </c>
      <c r="Q635" s="191">
        <v>377809</v>
      </c>
      <c r="R635" s="191">
        <v>382645</v>
      </c>
      <c r="S635" s="191">
        <v>408233</v>
      </c>
    </row>
    <row r="636" spans="2:19" s="475" customFormat="1" ht="15" thickBot="1" x14ac:dyDescent="0.35">
      <c r="B636" s="44" t="s">
        <v>475</v>
      </c>
      <c r="C636" s="45" t="s">
        <v>169</v>
      </c>
      <c r="D636" s="19"/>
      <c r="E636" s="47"/>
      <c r="F636" s="47"/>
      <c r="G636" s="150"/>
      <c r="H636" s="150"/>
      <c r="I636" s="150"/>
      <c r="J636" s="150">
        <f>J681*1000/'[1]Bevs(2000-2015)'!Q221</f>
        <v>0</v>
      </c>
      <c r="K636" s="150">
        <f>K681*1000/'[1]Bevs(2000-2015)'!R221</f>
        <v>0</v>
      </c>
      <c r="L636" s="149">
        <f t="shared" si="13"/>
        <v>3.3246069094004464E-3</v>
      </c>
      <c r="M636" s="508">
        <f t="shared" si="14"/>
        <v>3.5176118267813852</v>
      </c>
      <c r="N636" s="508">
        <f t="shared" si="15"/>
        <v>3.3572033572033573</v>
      </c>
      <c r="O636" s="508"/>
      <c r="P636" s="45" t="s">
        <v>169</v>
      </c>
      <c r="Q636" s="191">
        <v>62263</v>
      </c>
      <c r="R636" s="191">
        <v>63111</v>
      </c>
      <c r="S636" s="191">
        <v>64935</v>
      </c>
    </row>
    <row r="637" spans="2:19" s="475" customFormat="1" ht="15" thickBot="1" x14ac:dyDescent="0.35">
      <c r="B637" s="9" t="s">
        <v>475</v>
      </c>
      <c r="C637" s="59" t="s">
        <v>170</v>
      </c>
      <c r="D637" s="10"/>
      <c r="E637" s="40"/>
      <c r="F637" s="40"/>
      <c r="G637" s="149"/>
      <c r="H637" s="149"/>
      <c r="I637" s="149"/>
      <c r="J637" s="149">
        <f>J682*1000/'[1]Bevs(2000-2015)'!Q224</f>
        <v>0</v>
      </c>
      <c r="K637" s="149">
        <f>K682*1000/'[1]Bevs(2000-2015)'!R224</f>
        <v>0</v>
      </c>
      <c r="L637" s="149">
        <f t="shared" si="13"/>
        <v>6.8814513606506103E-3</v>
      </c>
      <c r="M637" s="508">
        <f t="shared" si="14"/>
        <v>7.389162561576355</v>
      </c>
      <c r="N637" s="508">
        <f t="shared" si="15"/>
        <v>6.5789473684210522</v>
      </c>
      <c r="O637" s="508"/>
      <c r="P637" s="59" t="s">
        <v>170</v>
      </c>
      <c r="Q637" s="191">
        <v>3197</v>
      </c>
      <c r="R637" s="191">
        <v>3248</v>
      </c>
      <c r="S637" s="191">
        <v>3496</v>
      </c>
    </row>
    <row r="638" spans="2:19" s="475" customFormat="1" ht="15" thickBot="1" x14ac:dyDescent="0.35">
      <c r="B638" s="44" t="s">
        <v>475</v>
      </c>
      <c r="C638" s="45" t="s">
        <v>171</v>
      </c>
      <c r="D638" s="19"/>
      <c r="E638" s="47"/>
      <c r="F638" s="47"/>
      <c r="G638" s="150"/>
      <c r="H638" s="150"/>
      <c r="I638" s="150"/>
      <c r="J638" s="150">
        <f>J683*1000/'[1]Bevs(2000-2015)'!Q227</f>
        <v>0</v>
      </c>
      <c r="K638" s="150">
        <f>K683*1000/'[1]Bevs(2000-2015)'!R227</f>
        <v>0</v>
      </c>
      <c r="L638" s="149">
        <f t="shared" si="13"/>
        <v>4.642262895174709E-3</v>
      </c>
      <c r="M638" s="508">
        <f t="shared" si="14"/>
        <v>4.8704236939531054</v>
      </c>
      <c r="N638" s="508">
        <f t="shared" si="15"/>
        <v>4.7014877310491405</v>
      </c>
      <c r="O638" s="508"/>
      <c r="P638" s="45" t="s">
        <v>171</v>
      </c>
      <c r="Q638" s="191">
        <v>60100</v>
      </c>
      <c r="R638" s="191">
        <v>60775</v>
      </c>
      <c r="S638" s="191">
        <v>62108</v>
      </c>
    </row>
    <row r="639" spans="2:19" s="475" customFormat="1" ht="15" thickBot="1" x14ac:dyDescent="0.35">
      <c r="B639" s="9" t="s">
        <v>475</v>
      </c>
      <c r="C639" s="59" t="s">
        <v>172</v>
      </c>
      <c r="D639" s="10"/>
      <c r="E639" s="40"/>
      <c r="F639" s="40"/>
      <c r="G639" s="149"/>
      <c r="H639" s="149"/>
      <c r="I639" s="149"/>
      <c r="J639" s="149">
        <f>J684*1000/'[1]Bevs(2000-2015)'!Q230</f>
        <v>0</v>
      </c>
      <c r="K639" s="149">
        <f>K684*1000/'[1]Bevs(2000-2015)'!R230</f>
        <v>0</v>
      </c>
      <c r="L639" s="149">
        <f t="shared" si="13"/>
        <v>5.446929517243496E-3</v>
      </c>
      <c r="M639" s="508">
        <f t="shared" si="14"/>
        <v>5.7845997716605355</v>
      </c>
      <c r="N639" s="508">
        <f t="shared" si="15"/>
        <v>5.4770447389617045</v>
      </c>
      <c r="O639" s="508"/>
      <c r="P639" s="59" t="s">
        <v>172</v>
      </c>
      <c r="Q639" s="191">
        <v>195523</v>
      </c>
      <c r="R639" s="191">
        <v>197075</v>
      </c>
      <c r="S639" s="191">
        <v>204855</v>
      </c>
    </row>
    <row r="640" spans="2:19" s="475" customFormat="1" ht="15" thickBot="1" x14ac:dyDescent="0.35">
      <c r="B640" s="44" t="s">
        <v>475</v>
      </c>
      <c r="C640" s="45" t="s">
        <v>235</v>
      </c>
      <c r="D640" s="19"/>
      <c r="E640" s="47"/>
      <c r="F640" s="47"/>
      <c r="G640" s="150"/>
      <c r="H640" s="150"/>
      <c r="I640" s="150"/>
      <c r="J640" s="150">
        <f>J685*1000/'[1]Bevs(2000-2015)'!Q233</f>
        <v>0</v>
      </c>
      <c r="K640" s="150">
        <f>K685*1000/'[1]Bevs(2000-2015)'!R233</f>
        <v>0</v>
      </c>
      <c r="L640" s="149">
        <f t="shared" si="13"/>
        <v>4.0621173543760082E-3</v>
      </c>
      <c r="M640" s="508">
        <f t="shared" si="14"/>
        <v>4.305953364987217</v>
      </c>
      <c r="N640" s="508">
        <f t="shared" si="15"/>
        <v>4.0999430052766082</v>
      </c>
      <c r="O640" s="508"/>
      <c r="P640" s="45" t="s">
        <v>235</v>
      </c>
      <c r="Q640" s="191">
        <v>51451</v>
      </c>
      <c r="R640" s="191">
        <v>52021</v>
      </c>
      <c r="S640" s="191">
        <v>54391</v>
      </c>
    </row>
    <row r="641" spans="2:19" s="475" customFormat="1" ht="15" thickBot="1" x14ac:dyDescent="0.35">
      <c r="B641" s="44" t="s">
        <v>475</v>
      </c>
      <c r="C641" s="27" t="s">
        <v>349</v>
      </c>
      <c r="D641" s="10"/>
      <c r="E641" s="40"/>
      <c r="F641" s="40"/>
      <c r="G641" s="149"/>
      <c r="H641" s="149"/>
      <c r="I641" s="149"/>
      <c r="J641" s="149">
        <f>J686*1000/('[1]Bevs(2000-2015)'!Q239+'[1]Bevs(2000-2015)'!Q293)</f>
        <v>0</v>
      </c>
      <c r="K641" s="149">
        <f>K686*1000/('[1]Bevs(2000-2015)'!R239+'[1]Bevs(2000-2015)'!R293)</f>
        <v>0</v>
      </c>
      <c r="L641" s="149">
        <f t="shared" si="13"/>
        <v>9.6388897484296198E-3</v>
      </c>
      <c r="M641" s="508">
        <f t="shared" si="14"/>
        <v>10.424537758107546</v>
      </c>
      <c r="N641" s="508">
        <f t="shared" si="15"/>
        <v>0</v>
      </c>
      <c r="O641" s="508"/>
      <c r="P641" s="27" t="s">
        <v>345</v>
      </c>
      <c r="Q641" s="191">
        <v>64634</v>
      </c>
      <c r="R641" s="191">
        <v>64847</v>
      </c>
      <c r="S641" s="191">
        <v>70474</v>
      </c>
    </row>
    <row r="642" spans="2:19" s="475" customFormat="1" ht="15" thickBot="1" x14ac:dyDescent="0.35">
      <c r="B642" s="9" t="s">
        <v>475</v>
      </c>
      <c r="C642" s="45" t="s">
        <v>175</v>
      </c>
      <c r="D642" s="19"/>
      <c r="E642" s="47"/>
      <c r="F642" s="47"/>
      <c r="G642" s="150"/>
      <c r="H642" s="150"/>
      <c r="I642" s="150"/>
      <c r="J642" s="150">
        <f>J687*1000/'[1]Bevs(2000-2015)'!Q242</f>
        <v>0</v>
      </c>
      <c r="K642" s="150">
        <f>K687*1000/'[1]Bevs(2000-2015)'!R242</f>
        <v>0</v>
      </c>
      <c r="L642" s="149">
        <f t="shared" si="13"/>
        <v>3.9498955149963157E-3</v>
      </c>
      <c r="M642" s="508">
        <f t="shared" si="14"/>
        <v>4.2373890065941389</v>
      </c>
      <c r="N642" s="508">
        <f t="shared" si="15"/>
        <v>3.9385141673981052</v>
      </c>
      <c r="O642" s="508"/>
      <c r="P642" s="45" t="s">
        <v>175</v>
      </c>
      <c r="Q642" s="191">
        <v>82787</v>
      </c>
      <c r="R642" s="191">
        <v>84014</v>
      </c>
      <c r="S642" s="191">
        <v>88866</v>
      </c>
    </row>
    <row r="643" spans="2:19" s="475" customFormat="1" ht="15" thickBot="1" x14ac:dyDescent="0.35">
      <c r="B643" s="44" t="s">
        <v>475</v>
      </c>
      <c r="C643" s="59" t="s">
        <v>176</v>
      </c>
      <c r="D643" s="10"/>
      <c r="E643" s="40"/>
      <c r="F643" s="40"/>
      <c r="G643" s="149"/>
      <c r="H643" s="149"/>
      <c r="I643" s="149"/>
      <c r="J643" s="149">
        <f>J688*1000/'[1]Bevs(2000-2015)'!Q245</f>
        <v>0</v>
      </c>
      <c r="K643" s="149">
        <f>K688*1000/'[1]Bevs(2000-2015)'!R245</f>
        <v>0</v>
      </c>
      <c r="L643" s="149">
        <f t="shared" si="13"/>
        <v>5.8464314215329102E-3</v>
      </c>
      <c r="M643" s="508">
        <f t="shared" si="14"/>
        <v>6.445047489823609</v>
      </c>
      <c r="N643" s="508">
        <f t="shared" si="15"/>
        <v>5.572000696500087</v>
      </c>
      <c r="O643" s="508"/>
      <c r="P643" s="59" t="s">
        <v>176</v>
      </c>
      <c r="Q643" s="191">
        <v>57642</v>
      </c>
      <c r="R643" s="191">
        <v>58960</v>
      </c>
      <c r="S643" s="191">
        <v>63173</v>
      </c>
    </row>
    <row r="644" spans="2:19" s="475" customFormat="1" ht="15" thickBot="1" x14ac:dyDescent="0.35">
      <c r="B644" s="9" t="s">
        <v>475</v>
      </c>
      <c r="C644" s="45" t="s">
        <v>237</v>
      </c>
      <c r="D644" s="19"/>
      <c r="E644" s="47"/>
      <c r="F644" s="47"/>
      <c r="G644" s="150"/>
      <c r="H644" s="150"/>
      <c r="I644" s="150"/>
      <c r="J644" s="150">
        <f>J690*1000/'[1]Bevs(2000-2015)'!Q251</f>
        <v>0</v>
      </c>
      <c r="K644" s="150">
        <f>K690*1000/'[1]Bevs(2000-2015)'!R251</f>
        <v>0</v>
      </c>
      <c r="L644" s="149">
        <f t="shared" si="13"/>
        <v>1.6497196488694866E-3</v>
      </c>
      <c r="M644" s="508">
        <f t="shared" si="14"/>
        <v>1.805881064141974</v>
      </c>
      <c r="N644" s="508">
        <f t="shared" si="15"/>
        <v>1.5897543511576591</v>
      </c>
      <c r="O644" s="508"/>
      <c r="P644" s="45" t="s">
        <v>237</v>
      </c>
      <c r="Q644" s="191">
        <v>296414</v>
      </c>
      <c r="R644" s="191">
        <v>301238</v>
      </c>
      <c r="S644" s="191">
        <v>314514</v>
      </c>
    </row>
    <row r="645" spans="2:19" s="475" customFormat="1" ht="15" thickBot="1" x14ac:dyDescent="0.35">
      <c r="B645" s="44" t="s">
        <v>475</v>
      </c>
      <c r="C645" s="59" t="s">
        <v>178</v>
      </c>
      <c r="D645" s="10"/>
      <c r="E645" s="40"/>
      <c r="F645" s="40"/>
      <c r="G645" s="149"/>
      <c r="H645" s="149"/>
      <c r="I645" s="149"/>
      <c r="J645" s="149">
        <f>J691*1000/'[1]Bevs(2000-2015)'!Q248</f>
        <v>0</v>
      </c>
      <c r="K645" s="149">
        <f>K691*1000/'[1]Bevs(2000-2015)'!R248</f>
        <v>0</v>
      </c>
      <c r="L645" s="149">
        <f t="shared" si="13"/>
        <v>1.6696429549612719E-2</v>
      </c>
      <c r="M645" s="508">
        <f t="shared" si="14"/>
        <v>17.983831050981685</v>
      </c>
      <c r="N645" s="508">
        <f t="shared" si="15"/>
        <v>16.244634545984578</v>
      </c>
      <c r="O645" s="508"/>
      <c r="P645" s="59" t="s">
        <v>178</v>
      </c>
      <c r="Q645" s="191">
        <v>91277</v>
      </c>
      <c r="R645" s="191">
        <v>90915</v>
      </c>
      <c r="S645" s="191">
        <v>99479</v>
      </c>
    </row>
    <row r="646" spans="2:19" s="475" customFormat="1" ht="15" thickBot="1" x14ac:dyDescent="0.35">
      <c r="B646" s="9" t="s">
        <v>475</v>
      </c>
      <c r="C646" s="45" t="s">
        <v>238</v>
      </c>
      <c r="D646" s="19"/>
      <c r="E646" s="47"/>
      <c r="F646" s="47"/>
      <c r="G646" s="150"/>
      <c r="H646" s="150"/>
      <c r="I646" s="150"/>
      <c r="J646" s="150">
        <f>J692*1000/'[1]Bevs(2000-2015)'!Q254</f>
        <v>0</v>
      </c>
      <c r="K646" s="150">
        <f>K692*1000/'[1]Bevs(2000-2015)'!R254</f>
        <v>0</v>
      </c>
      <c r="L646" s="149">
        <f t="shared" si="13"/>
        <v>4.2981797467698916E-3</v>
      </c>
      <c r="M646" s="508">
        <f t="shared" si="14"/>
        <v>4.769782189137028</v>
      </c>
      <c r="N646" s="508">
        <f t="shared" si="15"/>
        <v>4.9105789633222185</v>
      </c>
      <c r="O646" s="508"/>
      <c r="P646" s="45" t="s">
        <v>238</v>
      </c>
      <c r="Q646" s="191">
        <v>38621</v>
      </c>
      <c r="R646" s="191">
        <v>36270</v>
      </c>
      <c r="S646" s="191">
        <v>32990</v>
      </c>
    </row>
    <row r="647" spans="2:19" s="475" customFormat="1" ht="15" thickBot="1" x14ac:dyDescent="0.35">
      <c r="B647" s="44" t="s">
        <v>475</v>
      </c>
      <c r="C647" s="59" t="s">
        <v>239</v>
      </c>
      <c r="D647" s="10"/>
      <c r="E647" s="40"/>
      <c r="F647" s="40"/>
      <c r="G647" s="149"/>
      <c r="H647" s="149"/>
      <c r="I647" s="149"/>
      <c r="J647" s="149">
        <f>J696*1000/'[1]Bevs(2000-2015)'!Q257</f>
        <v>6.4784216209141769</v>
      </c>
      <c r="K647" s="149">
        <f>K696*1000/'[1]Bevs(2000-2015)'!R257</f>
        <v>6.8960966113439142</v>
      </c>
      <c r="L647" s="149">
        <f t="shared" si="13"/>
        <v>6.5760332549660979E-3</v>
      </c>
      <c r="M647" s="508">
        <f t="shared" si="14"/>
        <v>7.4182984695582439</v>
      </c>
      <c r="N647" s="508">
        <f t="shared" si="15"/>
        <v>5.0857420327634237</v>
      </c>
      <c r="O647" s="508"/>
      <c r="P647" s="59" t="s">
        <v>239</v>
      </c>
      <c r="Q647" s="191">
        <v>29349</v>
      </c>
      <c r="R647" s="191">
        <v>29926</v>
      </c>
      <c r="S647" s="191">
        <v>39129</v>
      </c>
    </row>
    <row r="648" spans="2:19" s="475" customFormat="1" ht="15" thickBot="1" x14ac:dyDescent="0.35">
      <c r="B648" s="9" t="s">
        <v>475</v>
      </c>
      <c r="C648" s="45" t="s">
        <v>240</v>
      </c>
      <c r="D648" s="19"/>
      <c r="E648" s="47"/>
      <c r="F648" s="47"/>
      <c r="G648" s="150"/>
      <c r="H648" s="150"/>
      <c r="I648" s="150"/>
      <c r="J648" s="150">
        <f>J697*1000/'[1]Bevs(2000-2015)'!Q260</f>
        <v>4.5144444207902712</v>
      </c>
      <c r="K648" s="150">
        <f>K697*1000/'[1]Bevs(2000-2015)'!R260</f>
        <v>4.8122102256031729</v>
      </c>
      <c r="L648" s="149">
        <f t="shared" si="13"/>
        <v>4.5845666580080343E-3</v>
      </c>
      <c r="M648" s="508">
        <f t="shared" si="14"/>
        <v>4.7427140192703057</v>
      </c>
      <c r="N648" s="508">
        <f t="shared" si="15"/>
        <v>4.704439865318629</v>
      </c>
      <c r="O648" s="508"/>
      <c r="P648" s="45" t="s">
        <v>240</v>
      </c>
      <c r="Q648" s="191">
        <v>2513869</v>
      </c>
      <c r="R648" s="191">
        <v>2558029</v>
      </c>
      <c r="S648" s="191">
        <v>2614764</v>
      </c>
    </row>
    <row r="649" spans="2:19" s="475" customFormat="1" ht="15" thickBot="1" x14ac:dyDescent="0.35">
      <c r="B649" s="44" t="s">
        <v>475</v>
      </c>
      <c r="C649" s="59" t="s">
        <v>241</v>
      </c>
      <c r="D649" s="10"/>
      <c r="E649" s="40"/>
      <c r="F649" s="40"/>
      <c r="G649" s="149"/>
      <c r="H649" s="149"/>
      <c r="I649" s="149"/>
      <c r="J649" s="149">
        <f>J698*1000/'[1]Bevs(2000-2015)'!Q263</f>
        <v>5.6945642795513374</v>
      </c>
      <c r="K649" s="149">
        <f>K698*1000/'[1]Bevs(2000-2015)'!R263</f>
        <v>6.0748069079232838</v>
      </c>
      <c r="L649" s="149">
        <f t="shared" si="13"/>
        <v>5.7960832528321767E-3</v>
      </c>
      <c r="M649" s="508">
        <f t="shared" si="14"/>
        <v>6.1944519256665771</v>
      </c>
      <c r="N649" s="508">
        <f t="shared" si="15"/>
        <v>5.8195083818292366</v>
      </c>
      <c r="O649" s="508"/>
      <c r="P649" s="59" t="s">
        <v>241</v>
      </c>
      <c r="Q649" s="191">
        <v>11387</v>
      </c>
      <c r="R649" s="191">
        <v>11139</v>
      </c>
      <c r="S649" s="191">
        <v>11513</v>
      </c>
    </row>
    <row r="650" spans="2:19" s="475" customFormat="1" ht="15" thickBot="1" x14ac:dyDescent="0.35">
      <c r="B650" s="9" t="s">
        <v>475</v>
      </c>
      <c r="C650" s="45" t="s">
        <v>183</v>
      </c>
      <c r="D650" s="19"/>
      <c r="E650" s="47"/>
      <c r="F650" s="47"/>
      <c r="G650" s="150"/>
      <c r="H650" s="150"/>
      <c r="I650" s="150"/>
      <c r="J650" s="150">
        <f>J699*1000/'[1]Bevs(2000-2015)'!Q266</f>
        <v>3.9786215402570191</v>
      </c>
      <c r="K650" s="150">
        <f>K699*1000/'[1]Bevs(2000-2015)'!R266</f>
        <v>4.2421222413092226</v>
      </c>
      <c r="L650" s="149">
        <f t="shared" si="13"/>
        <v>4.0434231296741967E-3</v>
      </c>
      <c r="M650" s="508">
        <f t="shared" si="14"/>
        <v>4.2893673183205481</v>
      </c>
      <c r="N650" s="508">
        <f t="shared" si="15"/>
        <v>4.0862917964504515</v>
      </c>
      <c r="O650" s="508"/>
      <c r="P650" s="45" t="s">
        <v>183</v>
      </c>
      <c r="Q650" s="191">
        <v>154572</v>
      </c>
      <c r="R650" s="191">
        <v>157599</v>
      </c>
      <c r="S650" s="191">
        <v>164697</v>
      </c>
    </row>
    <row r="651" spans="2:19" s="475" customFormat="1" ht="15" thickBot="1" x14ac:dyDescent="0.35">
      <c r="B651" s="44" t="s">
        <v>475</v>
      </c>
      <c r="C651" s="59" t="s">
        <v>184</v>
      </c>
      <c r="D651" s="10"/>
      <c r="E651" s="40"/>
      <c r="F651" s="40"/>
      <c r="G651" s="149"/>
      <c r="H651" s="149"/>
      <c r="I651" s="149"/>
      <c r="J651" s="149">
        <f>J700*1000/'[1]Bevs(2000-2015)'!Q269</f>
        <v>3.9497263229754607</v>
      </c>
      <c r="K651" s="149">
        <f>K700*1000/'[1]Bevs(2000-2015)'!R269</f>
        <v>4.2158414167159926</v>
      </c>
      <c r="L651" s="149">
        <f t="shared" si="13"/>
        <v>4.0077080402425901E-3</v>
      </c>
      <c r="M651" s="508">
        <f t="shared" si="14"/>
        <v>4.262364379315204</v>
      </c>
      <c r="N651" s="508">
        <f t="shared" si="15"/>
        <v>4.0470768606407681</v>
      </c>
      <c r="O651" s="508"/>
      <c r="P651" s="59" t="s">
        <v>184</v>
      </c>
      <c r="Q651" s="191">
        <v>84587</v>
      </c>
      <c r="R651" s="191">
        <v>85164</v>
      </c>
      <c r="S651" s="191">
        <v>88706</v>
      </c>
    </row>
    <row r="652" spans="2:19" s="475" customFormat="1" ht="15" thickBot="1" x14ac:dyDescent="0.35">
      <c r="B652" s="9" t="s">
        <v>475</v>
      </c>
      <c r="C652" s="45" t="s">
        <v>185</v>
      </c>
      <c r="D652" s="19"/>
      <c r="E652" s="47"/>
      <c r="F652" s="47"/>
      <c r="G652" s="150"/>
      <c r="H652" s="150"/>
      <c r="I652" s="150"/>
      <c r="J652" s="150">
        <f>J701*1000/'[1]Bevs(2000-2015)'!Q272</f>
        <v>3.9649760449363951</v>
      </c>
      <c r="K652" s="150">
        <f>K701*1000/'[1]Bevs(2000-2015)'!R272</f>
        <v>4.1445623342175066</v>
      </c>
      <c r="L652" s="149">
        <f t="shared" si="13"/>
        <v>4.0288735940909853E-3</v>
      </c>
      <c r="M652" s="508">
        <f t="shared" si="14"/>
        <v>3.8384512683578103</v>
      </c>
      <c r="N652" s="508">
        <f t="shared" si="15"/>
        <v>4.4955943175687825</v>
      </c>
      <c r="O652" s="508"/>
      <c r="P652" s="45" t="s">
        <v>185</v>
      </c>
      <c r="Q652" s="191">
        <v>5957</v>
      </c>
      <c r="R652" s="191">
        <v>5992</v>
      </c>
      <c r="S652" s="191">
        <v>5561</v>
      </c>
    </row>
    <row r="653" spans="2:19" s="475" customFormat="1" ht="15" thickBot="1" x14ac:dyDescent="0.35">
      <c r="B653" s="44" t="s">
        <v>475</v>
      </c>
      <c r="C653" s="59" t="s">
        <v>242</v>
      </c>
      <c r="D653" s="10"/>
      <c r="E653" s="40"/>
      <c r="F653" s="40"/>
      <c r="G653" s="149"/>
      <c r="H653" s="149"/>
      <c r="I653" s="149"/>
      <c r="J653" s="149">
        <f>J702*1000/'[1]Bevs(2000-2015)'!Q275</f>
        <v>4.1773462145110409</v>
      </c>
      <c r="K653" s="149">
        <f>K702*1000/'[1]Bevs(2000-2015)'!R275</f>
        <v>4.454478886990481</v>
      </c>
      <c r="L653" s="149">
        <f t="shared" si="13"/>
        <v>4.2399286421231416E-3</v>
      </c>
      <c r="M653" s="508">
        <f t="shared" si="14"/>
        <v>4.6885465505693231</v>
      </c>
      <c r="N653" s="508">
        <f t="shared" si="15"/>
        <v>4.3707490756379244</v>
      </c>
      <c r="O653" s="508"/>
      <c r="P653" s="59" t="s">
        <v>242</v>
      </c>
      <c r="Q653" s="191">
        <v>81841</v>
      </c>
      <c r="R653" s="191">
        <v>80622</v>
      </c>
      <c r="S653" s="191">
        <v>87628</v>
      </c>
    </row>
    <row r="654" spans="2:19" s="475" customFormat="1" ht="15" thickBot="1" x14ac:dyDescent="0.35">
      <c r="B654" s="9" t="s">
        <v>475</v>
      </c>
      <c r="C654" s="45" t="s">
        <v>187</v>
      </c>
      <c r="D654" s="19"/>
      <c r="E654" s="47"/>
      <c r="F654" s="47"/>
      <c r="G654" s="150"/>
      <c r="H654" s="150"/>
      <c r="I654" s="150"/>
      <c r="J654" s="150">
        <f>J703*1000/'[1]Bevs(2000-2015)'!Q278</f>
        <v>4.8542183622828787</v>
      </c>
      <c r="K654" s="150">
        <f>K703*1000/'[1]Bevs(2000-2015)'!R278</f>
        <v>5.1718158652613804</v>
      </c>
      <c r="L654" s="149">
        <f t="shared" si="13"/>
        <v>4.9281892424669106E-3</v>
      </c>
      <c r="M654" s="508">
        <f t="shared" si="14"/>
        <v>5.0072176109707689</v>
      </c>
      <c r="N654" s="508">
        <f t="shared" si="15"/>
        <v>4.8393724034027787</v>
      </c>
      <c r="O654" s="508"/>
      <c r="P654" s="45" t="s">
        <v>187</v>
      </c>
      <c r="Q654" s="191">
        <v>63918</v>
      </c>
      <c r="R654" s="191">
        <v>66504</v>
      </c>
      <c r="S654" s="191">
        <v>65711</v>
      </c>
    </row>
    <row r="655" spans="2:19" s="475" customFormat="1" ht="15" thickBot="1" x14ac:dyDescent="0.35">
      <c r="B655" s="44" t="s">
        <v>475</v>
      </c>
      <c r="C655" s="59" t="s">
        <v>188</v>
      </c>
      <c r="D655" s="10"/>
      <c r="E655" s="40"/>
      <c r="F655" s="40"/>
      <c r="G655" s="149"/>
      <c r="H655" s="149"/>
      <c r="I655" s="149"/>
      <c r="J655" s="149">
        <f>J704*1000/'[1]Bevs(2000-2015)'!Q281</f>
        <v>6.4791562029131091</v>
      </c>
      <c r="K655" s="149">
        <f>K704*1000/'[1]Bevs(2000-2015)'!R281</f>
        <v>6.9273630841825211</v>
      </c>
      <c r="L655" s="149">
        <f t="shared" si="13"/>
        <v>6.5789473684210523E-3</v>
      </c>
      <c r="M655" s="508">
        <f t="shared" si="14"/>
        <v>6.9854388036206219</v>
      </c>
      <c r="N655" s="508">
        <f t="shared" si="15"/>
        <v>6.4336061308481955</v>
      </c>
      <c r="O655" s="508"/>
      <c r="P655" s="59" t="s">
        <v>188</v>
      </c>
      <c r="Q655" s="191">
        <v>19456</v>
      </c>
      <c r="R655" s="191">
        <v>20328</v>
      </c>
      <c r="S655" s="191">
        <v>21139</v>
      </c>
    </row>
    <row r="656" spans="2:19" s="475" customFormat="1" ht="15" thickBot="1" x14ac:dyDescent="0.35">
      <c r="B656" s="9" t="s">
        <v>475</v>
      </c>
      <c r="C656" s="45" t="s">
        <v>243</v>
      </c>
      <c r="D656" s="19"/>
      <c r="E656" s="47"/>
      <c r="F656" s="47"/>
      <c r="G656" s="150"/>
      <c r="H656" s="150"/>
      <c r="I656" s="150"/>
      <c r="J656" s="150">
        <f>J705*1000/'[1]Bevs(2000-2015)'!Q284</f>
        <v>4.100129477772982</v>
      </c>
      <c r="K656" s="150">
        <f>K705*1000/'[1]Bevs(2000-2015)'!R284</f>
        <v>4.349022846132673</v>
      </c>
      <c r="L656" s="149">
        <f t="shared" si="13"/>
        <v>4.163577254320424E-3</v>
      </c>
      <c r="M656" s="508">
        <f t="shared" si="14"/>
        <v>4.6581172005290705</v>
      </c>
      <c r="N656" s="508">
        <f t="shared" si="15"/>
        <v>3.9779357165588203</v>
      </c>
      <c r="O656" s="508"/>
      <c r="P656" s="45" t="s">
        <v>243</v>
      </c>
      <c r="Q656" s="191">
        <v>17533</v>
      </c>
      <c r="R656" s="191">
        <v>17389</v>
      </c>
      <c r="S656" s="191">
        <v>18854</v>
      </c>
    </row>
    <row r="657" spans="2:19" s="475" customFormat="1" ht="15" thickBot="1" x14ac:dyDescent="0.35">
      <c r="B657" s="44" t="s">
        <v>475</v>
      </c>
      <c r="C657" s="59" t="s">
        <v>244</v>
      </c>
      <c r="D657" s="10"/>
      <c r="E657" s="40"/>
      <c r="F657" s="40"/>
      <c r="G657" s="149"/>
      <c r="H657" s="149"/>
      <c r="I657" s="149"/>
      <c r="J657" s="149">
        <f>J706*1000/'[1]Bevs(2000-2015)'!Q287</f>
        <v>8.5398977169843633</v>
      </c>
      <c r="K657" s="149">
        <f>K706*1000/'[1]Bevs(2000-2015)'!R287</f>
        <v>9.1093117408906874</v>
      </c>
      <c r="L657" s="149">
        <f t="shared" si="13"/>
        <v>8.6680865818019714E-3</v>
      </c>
      <c r="M657" s="508">
        <f t="shared" si="14"/>
        <v>9.5591245094026149</v>
      </c>
      <c r="N657" s="508">
        <f t="shared" si="15"/>
        <v>8.6923404350650806</v>
      </c>
      <c r="O657" s="508"/>
      <c r="P657" s="59" t="s">
        <v>244</v>
      </c>
      <c r="Q657" s="191">
        <v>40378</v>
      </c>
      <c r="R657" s="191">
        <v>41531</v>
      </c>
      <c r="S657" s="191">
        <v>44637</v>
      </c>
    </row>
    <row r="658" spans="2:19" s="475" customFormat="1" ht="15" thickBot="1" x14ac:dyDescent="0.35">
      <c r="B658" s="44" t="s">
        <v>475</v>
      </c>
      <c r="C658" s="59" t="s">
        <v>346</v>
      </c>
      <c r="D658" s="10"/>
      <c r="E658" s="40"/>
      <c r="F658" s="40"/>
      <c r="G658" s="149"/>
      <c r="H658" s="149"/>
      <c r="I658" s="149"/>
      <c r="J658" s="149"/>
      <c r="K658" s="149"/>
      <c r="L658" s="149"/>
      <c r="M658" s="508">
        <f t="shared" si="14"/>
        <v>0</v>
      </c>
      <c r="N658" s="508">
        <f t="shared" si="15"/>
        <v>13.961052676044439</v>
      </c>
      <c r="O658" s="508"/>
      <c r="P658" s="45" t="s">
        <v>346</v>
      </c>
      <c r="Q658" s="191">
        <v>45448</v>
      </c>
      <c r="R658" s="191">
        <v>46175</v>
      </c>
      <c r="S658" s="191">
        <v>47346</v>
      </c>
    </row>
    <row r="659" spans="2:19" s="475" customFormat="1" ht="15" thickBot="1" x14ac:dyDescent="0.35">
      <c r="B659" s="9" t="s">
        <v>475</v>
      </c>
      <c r="C659" s="123" t="s">
        <v>191</v>
      </c>
      <c r="D659" s="128"/>
      <c r="E659" s="139"/>
      <c r="F659" s="139"/>
      <c r="G659" s="159"/>
      <c r="H659" s="159"/>
      <c r="I659" s="159"/>
      <c r="J659" s="159">
        <f>J707*1000/'[1]Bevs(2000-2015)'!Q296</f>
        <v>5.9110591793250391</v>
      </c>
      <c r="K659" s="159">
        <f>K707*1000/'[1]Bevs(2000-2015)'!R296</f>
        <v>6.2871822606814494</v>
      </c>
      <c r="L659" s="149">
        <f t="shared" si="13"/>
        <v>5.9978750385577678E-3</v>
      </c>
      <c r="M659" s="508">
        <f t="shared" si="14"/>
        <v>6.5998700543719861</v>
      </c>
      <c r="N659" s="508">
        <f t="shared" si="15"/>
        <v>5.7856465380967439</v>
      </c>
      <c r="O659" s="508"/>
      <c r="P659" s="27" t="s">
        <v>191</v>
      </c>
      <c r="Q659" s="191">
        <v>29177</v>
      </c>
      <c r="R659" s="191">
        <v>29243</v>
      </c>
      <c r="S659" s="191">
        <v>31630</v>
      </c>
    </row>
    <row r="660" spans="2:19" s="140" customFormat="1" ht="15" thickBot="1" x14ac:dyDescent="0.35">
      <c r="B660" s="44" t="s">
        <v>475</v>
      </c>
      <c r="C660" s="27" t="s">
        <v>245</v>
      </c>
      <c r="D660" s="10"/>
      <c r="E660" s="40"/>
      <c r="F660" s="40"/>
      <c r="G660" s="149"/>
      <c r="H660" s="149"/>
      <c r="I660" s="149"/>
      <c r="J660" s="149">
        <f>J708*1000/'[1]Bevs(2000-2015)'!Q299</f>
        <v>4.9798830942078496</v>
      </c>
      <c r="K660" s="149">
        <f>K708*1000/'[1]Bevs(2000-2015)'!R299</f>
        <v>5.3050198844451115</v>
      </c>
      <c r="L660" s="149">
        <f t="shared" si="13"/>
        <v>5.0604019791127032E-3</v>
      </c>
      <c r="M660" s="508">
        <f t="shared" si="14"/>
        <v>5.3378148274279287</v>
      </c>
      <c r="N660" s="508">
        <f t="shared" si="15"/>
        <v>5.1742103084543025</v>
      </c>
      <c r="O660" s="508"/>
      <c r="P660" s="45" t="s">
        <v>245</v>
      </c>
      <c r="Q660" s="191">
        <v>133191</v>
      </c>
      <c r="R660" s="192">
        <v>135074</v>
      </c>
      <c r="S660" s="192">
        <v>140118</v>
      </c>
    </row>
    <row r="661" spans="2:19" s="6" customFormat="1" ht="15" thickBot="1" x14ac:dyDescent="0.35">
      <c r="B661" s="48" t="s">
        <v>475</v>
      </c>
      <c r="C661" s="49" t="s">
        <v>214</v>
      </c>
      <c r="D661" s="50"/>
      <c r="E661" s="51"/>
      <c r="F661" s="51"/>
      <c r="G661" s="151"/>
      <c r="H661" s="151"/>
      <c r="I661" s="151"/>
      <c r="J661" s="151">
        <f>J669*1000/'[1]Bevs(2000-2015)'!Q300</f>
        <v>0</v>
      </c>
      <c r="K661" s="151">
        <f>K669*1000/'[1]Bevs(2000-2015)'!R300</f>
        <v>0</v>
      </c>
      <c r="L661" s="151">
        <f t="shared" si="13"/>
        <v>4.7051949349960409E-3</v>
      </c>
      <c r="M661" s="621">
        <f t="shared" si="14"/>
        <v>4.9476545473756968</v>
      </c>
      <c r="N661" s="621">
        <f t="shared" si="15"/>
        <v>4.6344394853919049</v>
      </c>
      <c r="O661" s="621"/>
      <c r="Q661" s="191">
        <f>SUM(Q633:Q660)</f>
        <v>4682484</v>
      </c>
      <c r="R661" s="193">
        <f>SUM(R633:R660)</f>
        <v>4750938</v>
      </c>
      <c r="S661" s="193">
        <f>SUM(S633:S660)</f>
        <v>4921415</v>
      </c>
    </row>
    <row r="662" spans="2:19" s="6" customFormat="1" x14ac:dyDescent="0.3">
      <c r="B662" s="32"/>
      <c r="C662" s="32"/>
      <c r="D662" s="39">
        <v>2007</v>
      </c>
      <c r="E662" s="39">
        <v>2008</v>
      </c>
      <c r="F662" s="39">
        <v>2009</v>
      </c>
      <c r="G662" s="39">
        <v>2010</v>
      </c>
      <c r="H662" s="39">
        <v>2011</v>
      </c>
      <c r="I662" s="39">
        <v>2012</v>
      </c>
      <c r="J662" s="39">
        <v>2013</v>
      </c>
      <c r="K662" s="39">
        <v>2014</v>
      </c>
      <c r="L662" s="39">
        <v>2015</v>
      </c>
      <c r="M662" s="39">
        <v>2016</v>
      </c>
      <c r="N662" s="39">
        <v>2017</v>
      </c>
      <c r="O662" s="39"/>
    </row>
    <row r="663" spans="2:19" s="475" customFormat="1" x14ac:dyDescent="0.3">
      <c r="B663" s="11" t="s">
        <v>10</v>
      </c>
      <c r="C663" s="11"/>
      <c r="D663" s="21"/>
      <c r="E663" s="21"/>
      <c r="F663" s="21"/>
      <c r="G663" s="21"/>
      <c r="H663" s="21"/>
      <c r="I663" s="21"/>
      <c r="J663" s="21"/>
      <c r="K663" s="21"/>
      <c r="L663" s="21"/>
      <c r="M663" s="21"/>
      <c r="N663" s="21"/>
      <c r="O663" s="21"/>
    </row>
    <row r="664" spans="2:19" s="475" customFormat="1" x14ac:dyDescent="0.3">
      <c r="B664" s="9" t="s">
        <v>598</v>
      </c>
      <c r="C664" s="59" t="s">
        <v>233</v>
      </c>
      <c r="D664" s="10"/>
      <c r="E664" s="40"/>
      <c r="F664" s="40"/>
      <c r="G664" s="149"/>
      <c r="H664" s="149"/>
      <c r="I664" s="149"/>
      <c r="J664" s="149"/>
      <c r="K664" s="149"/>
      <c r="L664" s="212">
        <v>81</v>
      </c>
      <c r="M664" s="212">
        <v>90</v>
      </c>
      <c r="N664" s="212">
        <v>85</v>
      </c>
      <c r="O664" s="212"/>
    </row>
    <row r="665" spans="2:19" s="475" customFormat="1" ht="15" customHeight="1" x14ac:dyDescent="0.3">
      <c r="B665" s="9" t="s">
        <v>598</v>
      </c>
      <c r="C665" s="45" t="s">
        <v>234</v>
      </c>
      <c r="D665" s="19"/>
      <c r="E665" s="47"/>
      <c r="F665" s="47"/>
      <c r="G665" s="150"/>
      <c r="H665" s="150"/>
      <c r="I665" s="150"/>
      <c r="J665" s="150"/>
      <c r="K665" s="150"/>
      <c r="L665" s="212">
        <v>298</v>
      </c>
      <c r="M665" s="212">
        <v>303</v>
      </c>
      <c r="N665" s="212">
        <v>346</v>
      </c>
      <c r="O665" s="212"/>
    </row>
    <row r="666" spans="2:19" s="475" customFormat="1" x14ac:dyDescent="0.3">
      <c r="B666" s="9" t="s">
        <v>598</v>
      </c>
      <c r="C666" s="59" t="s">
        <v>168</v>
      </c>
      <c r="D666" s="10"/>
      <c r="E666" s="40"/>
      <c r="F666" s="40"/>
      <c r="G666" s="149"/>
      <c r="H666" s="149"/>
      <c r="I666" s="149"/>
      <c r="J666" s="149"/>
      <c r="K666" s="149"/>
      <c r="L666" s="212">
        <v>1571</v>
      </c>
      <c r="M666" s="212">
        <v>1712</v>
      </c>
      <c r="N666" s="212">
        <v>1687</v>
      </c>
      <c r="O666" s="212"/>
    </row>
    <row r="667" spans="2:19" s="475" customFormat="1" x14ac:dyDescent="0.3">
      <c r="B667" s="9" t="s">
        <v>598</v>
      </c>
      <c r="C667" s="45" t="s">
        <v>169</v>
      </c>
      <c r="D667" s="19"/>
      <c r="E667" s="47"/>
      <c r="F667" s="47"/>
      <c r="G667" s="150"/>
      <c r="H667" s="150"/>
      <c r="I667" s="150"/>
      <c r="J667" s="150"/>
      <c r="K667" s="150"/>
      <c r="L667" s="212">
        <v>207</v>
      </c>
      <c r="M667" s="212">
        <v>222</v>
      </c>
      <c r="N667" s="212">
        <v>218</v>
      </c>
      <c r="O667" s="212"/>
      <c r="P667" s="6"/>
      <c r="Q667" s="6"/>
      <c r="R667" s="6"/>
      <c r="S667" s="6"/>
    </row>
    <row r="668" spans="2:19" s="475" customFormat="1" x14ac:dyDescent="0.3">
      <c r="B668" s="9" t="s">
        <v>598</v>
      </c>
      <c r="C668" s="59" t="s">
        <v>170</v>
      </c>
      <c r="D668" s="10"/>
      <c r="E668" s="40"/>
      <c r="F668" s="40"/>
      <c r="G668" s="149"/>
      <c r="H668" s="149"/>
      <c r="I668" s="149"/>
      <c r="J668" s="149"/>
      <c r="K668" s="149"/>
      <c r="L668" s="212">
        <v>22</v>
      </c>
      <c r="M668" s="212">
        <v>24</v>
      </c>
      <c r="N668" s="212">
        <v>23</v>
      </c>
      <c r="O668" s="212"/>
      <c r="P668" s="6"/>
      <c r="Q668" s="6"/>
      <c r="R668" s="6"/>
      <c r="S668" s="6"/>
    </row>
    <row r="669" spans="2:19" s="6" customFormat="1" x14ac:dyDescent="0.3">
      <c r="B669" s="9" t="s">
        <v>598</v>
      </c>
      <c r="C669" s="45" t="s">
        <v>171</v>
      </c>
      <c r="D669" s="19"/>
      <c r="E669" s="47"/>
      <c r="F669" s="47"/>
      <c r="G669" s="150"/>
      <c r="H669" s="150"/>
      <c r="I669" s="150"/>
      <c r="J669" s="150"/>
      <c r="K669" s="150"/>
      <c r="L669" s="212">
        <v>279</v>
      </c>
      <c r="M669" s="212">
        <v>296</v>
      </c>
      <c r="N669" s="212">
        <v>292</v>
      </c>
      <c r="O669" s="212"/>
    </row>
    <row r="670" spans="2:19" s="6" customFormat="1" x14ac:dyDescent="0.3">
      <c r="B670" s="9" t="s">
        <v>598</v>
      </c>
      <c r="C670" s="59" t="s">
        <v>172</v>
      </c>
      <c r="D670" s="10"/>
      <c r="E670" s="40"/>
      <c r="F670" s="40"/>
      <c r="G670" s="149"/>
      <c r="H670" s="149"/>
      <c r="I670" s="149"/>
      <c r="J670" s="149"/>
      <c r="K670" s="149"/>
      <c r="L670" s="212">
        <v>1065</v>
      </c>
      <c r="M670" s="212">
        <v>1140</v>
      </c>
      <c r="N670" s="212">
        <v>1122</v>
      </c>
      <c r="O670" s="212"/>
      <c r="P670" s="475"/>
      <c r="Q670" s="475"/>
      <c r="R670" s="475"/>
      <c r="S670" s="475"/>
    </row>
    <row r="671" spans="2:19" s="6" customFormat="1" x14ac:dyDescent="0.3">
      <c r="B671" s="9" t="s">
        <v>598</v>
      </c>
      <c r="C671" s="45" t="s">
        <v>235</v>
      </c>
      <c r="D671" s="19"/>
      <c r="E671" s="47"/>
      <c r="F671" s="47"/>
      <c r="G671" s="150"/>
      <c r="H671" s="150"/>
      <c r="I671" s="150"/>
      <c r="J671" s="150"/>
      <c r="K671" s="150"/>
      <c r="L671" s="212">
        <v>209</v>
      </c>
      <c r="M671" s="212">
        <v>224</v>
      </c>
      <c r="N671" s="212">
        <v>223</v>
      </c>
      <c r="O671" s="212"/>
      <c r="P671" s="475"/>
      <c r="Q671" s="475"/>
      <c r="R671" s="475"/>
      <c r="S671" s="475"/>
    </row>
    <row r="672" spans="2:19" s="475" customFormat="1" x14ac:dyDescent="0.3">
      <c r="B672" s="9" t="s">
        <v>598</v>
      </c>
      <c r="C672" s="27" t="s">
        <v>349</v>
      </c>
      <c r="D672" s="10"/>
      <c r="E672" s="40"/>
      <c r="F672" s="40"/>
      <c r="G672" s="149"/>
      <c r="H672" s="149"/>
      <c r="I672" s="149"/>
      <c r="J672" s="149"/>
      <c r="K672" s="149"/>
      <c r="L672" s="212">
        <v>623</v>
      </c>
      <c r="M672" s="212">
        <v>676</v>
      </c>
      <c r="N672" s="524"/>
      <c r="O672" s="524"/>
    </row>
    <row r="673" spans="2:15" s="475" customFormat="1" x14ac:dyDescent="0.3">
      <c r="B673" s="9" t="s">
        <v>598</v>
      </c>
      <c r="C673" s="45" t="s">
        <v>175</v>
      </c>
      <c r="D673" s="19"/>
      <c r="E673" s="47"/>
      <c r="F673" s="47"/>
      <c r="G673" s="150"/>
      <c r="H673" s="150"/>
      <c r="I673" s="150"/>
      <c r="J673" s="150"/>
      <c r="K673" s="150"/>
      <c r="L673" s="212">
        <v>327</v>
      </c>
      <c r="M673" s="212">
        <v>356</v>
      </c>
      <c r="N673" s="212">
        <v>350</v>
      </c>
      <c r="O673" s="212"/>
    </row>
    <row r="674" spans="2:15" s="475" customFormat="1" x14ac:dyDescent="0.3">
      <c r="B674" s="9" t="s">
        <v>598</v>
      </c>
      <c r="C674" s="59" t="s">
        <v>176</v>
      </c>
      <c r="D674" s="10"/>
      <c r="E674" s="40"/>
      <c r="F674" s="40"/>
      <c r="G674" s="149"/>
      <c r="H674" s="149"/>
      <c r="I674" s="149"/>
      <c r="J674" s="149"/>
      <c r="K674" s="149"/>
      <c r="L674" s="212">
        <v>337</v>
      </c>
      <c r="M674" s="212">
        <v>380</v>
      </c>
      <c r="N674" s="212">
        <v>352</v>
      </c>
      <c r="O674" s="212"/>
    </row>
    <row r="675" spans="2:15" s="475" customFormat="1" x14ac:dyDescent="0.3">
      <c r="B675" s="9" t="s">
        <v>598</v>
      </c>
      <c r="C675" s="45" t="s">
        <v>237</v>
      </c>
      <c r="D675" s="19"/>
      <c r="E675" s="47"/>
      <c r="F675" s="47"/>
      <c r="G675" s="150"/>
      <c r="H675" s="150"/>
      <c r="I675" s="150"/>
      <c r="J675" s="150"/>
      <c r="K675" s="150"/>
      <c r="L675" s="212">
        <v>489</v>
      </c>
      <c r="M675" s="212">
        <v>544</v>
      </c>
      <c r="N675" s="212">
        <v>500</v>
      </c>
      <c r="O675" s="212"/>
    </row>
    <row r="676" spans="2:15" s="475" customFormat="1" x14ac:dyDescent="0.3">
      <c r="B676" s="9" t="s">
        <v>598</v>
      </c>
      <c r="C676" s="59" t="s">
        <v>178</v>
      </c>
      <c r="D676" s="10"/>
      <c r="E676" s="40"/>
      <c r="F676" s="40"/>
      <c r="G676" s="149"/>
      <c r="H676" s="149"/>
      <c r="I676" s="149"/>
      <c r="J676" s="149"/>
      <c r="K676" s="149"/>
      <c r="L676" s="212">
        <v>1524</v>
      </c>
      <c r="M676" s="212">
        <v>1635</v>
      </c>
      <c r="N676" s="212">
        <v>1616</v>
      </c>
      <c r="O676" s="212"/>
    </row>
    <row r="677" spans="2:15" s="475" customFormat="1" x14ac:dyDescent="0.3">
      <c r="B677" s="9" t="s">
        <v>598</v>
      </c>
      <c r="C677" s="45" t="s">
        <v>238</v>
      </c>
      <c r="D677" s="19"/>
      <c r="E677" s="47"/>
      <c r="F677" s="47"/>
      <c r="G677" s="150"/>
      <c r="H677" s="150"/>
      <c r="I677" s="150"/>
      <c r="J677" s="150"/>
      <c r="K677" s="150"/>
      <c r="L677" s="212">
        <v>166</v>
      </c>
      <c r="M677" s="212">
        <v>173</v>
      </c>
      <c r="N677" s="212">
        <v>162</v>
      </c>
      <c r="O677" s="212"/>
    </row>
    <row r="678" spans="2:15" s="475" customFormat="1" x14ac:dyDescent="0.3">
      <c r="B678" s="9" t="s">
        <v>598</v>
      </c>
      <c r="C678" s="59" t="s">
        <v>239</v>
      </c>
      <c r="D678" s="10"/>
      <c r="E678" s="40"/>
      <c r="F678" s="40"/>
      <c r="G678" s="149"/>
      <c r="H678" s="149"/>
      <c r="I678" s="149"/>
      <c r="J678" s="149"/>
      <c r="K678" s="149"/>
      <c r="L678" s="212">
        <v>193</v>
      </c>
      <c r="M678" s="212">
        <v>222</v>
      </c>
      <c r="N678" s="212">
        <v>199</v>
      </c>
      <c r="O678" s="212"/>
    </row>
    <row r="679" spans="2:15" s="475" customFormat="1" x14ac:dyDescent="0.3">
      <c r="B679" s="9" t="s">
        <v>598</v>
      </c>
      <c r="C679" s="45" t="s">
        <v>240</v>
      </c>
      <c r="D679" s="19"/>
      <c r="E679" s="47"/>
      <c r="F679" s="47"/>
      <c r="G679" s="150"/>
      <c r="H679" s="150"/>
      <c r="I679" s="150"/>
      <c r="J679" s="150"/>
      <c r="K679" s="150"/>
      <c r="L679" s="212">
        <v>11525</v>
      </c>
      <c r="M679" s="212">
        <v>12132</v>
      </c>
      <c r="N679" s="212">
        <v>12301</v>
      </c>
      <c r="O679" s="212"/>
    </row>
    <row r="680" spans="2:15" s="475" customFormat="1" x14ac:dyDescent="0.3">
      <c r="B680" s="9" t="s">
        <v>598</v>
      </c>
      <c r="C680" s="59" t="s">
        <v>241</v>
      </c>
      <c r="D680" s="10"/>
      <c r="E680" s="40"/>
      <c r="F680" s="40"/>
      <c r="G680" s="149"/>
      <c r="H680" s="149"/>
      <c r="I680" s="149"/>
      <c r="J680" s="149"/>
      <c r="K680" s="149"/>
      <c r="L680" s="212">
        <v>66</v>
      </c>
      <c r="M680" s="212">
        <v>69</v>
      </c>
      <c r="N680" s="212">
        <v>67</v>
      </c>
      <c r="O680" s="212"/>
    </row>
    <row r="681" spans="2:15" s="475" customFormat="1" x14ac:dyDescent="0.3">
      <c r="B681" s="9" t="s">
        <v>598</v>
      </c>
      <c r="C681" s="45" t="s">
        <v>183</v>
      </c>
      <c r="D681" s="19"/>
      <c r="E681" s="47"/>
      <c r="F681" s="47"/>
      <c r="G681" s="150"/>
      <c r="H681" s="150"/>
      <c r="I681" s="150"/>
      <c r="J681" s="150"/>
      <c r="K681" s="150"/>
      <c r="L681" s="212">
        <v>625</v>
      </c>
      <c r="M681" s="212">
        <v>676</v>
      </c>
      <c r="N681" s="212">
        <v>673</v>
      </c>
      <c r="O681" s="212"/>
    </row>
    <row r="682" spans="2:15" s="475" customFormat="1" x14ac:dyDescent="0.3">
      <c r="B682" s="9" t="s">
        <v>598</v>
      </c>
      <c r="C682" s="59" t="s">
        <v>184</v>
      </c>
      <c r="D682" s="10"/>
      <c r="E682" s="40"/>
      <c r="F682" s="40"/>
      <c r="G682" s="149"/>
      <c r="H682" s="149"/>
      <c r="I682" s="149"/>
      <c r="J682" s="149"/>
      <c r="K682" s="149"/>
      <c r="L682" s="212">
        <v>339</v>
      </c>
      <c r="M682" s="212">
        <v>363</v>
      </c>
      <c r="N682" s="212">
        <v>359</v>
      </c>
      <c r="O682" s="212"/>
    </row>
    <row r="683" spans="2:15" s="475" customFormat="1" x14ac:dyDescent="0.3">
      <c r="B683" s="9" t="s">
        <v>598</v>
      </c>
      <c r="C683" s="45" t="s">
        <v>185</v>
      </c>
      <c r="D683" s="19"/>
      <c r="E683" s="47"/>
      <c r="F683" s="47"/>
      <c r="G683" s="150"/>
      <c r="H683" s="150"/>
      <c r="I683" s="150"/>
      <c r="J683" s="150"/>
      <c r="K683" s="150"/>
      <c r="L683" s="212">
        <v>24</v>
      </c>
      <c r="M683" s="212">
        <v>23</v>
      </c>
      <c r="N683" s="212">
        <v>25</v>
      </c>
      <c r="O683" s="212"/>
    </row>
    <row r="684" spans="2:15" s="475" customFormat="1" x14ac:dyDescent="0.3">
      <c r="B684" s="9" t="s">
        <v>598</v>
      </c>
      <c r="C684" s="59" t="s">
        <v>242</v>
      </c>
      <c r="D684" s="10"/>
      <c r="E684" s="40"/>
      <c r="F684" s="40"/>
      <c r="G684" s="149"/>
      <c r="H684" s="149"/>
      <c r="I684" s="149"/>
      <c r="J684" s="149"/>
      <c r="K684" s="149"/>
      <c r="L684" s="212">
        <v>347</v>
      </c>
      <c r="M684" s="212">
        <v>378</v>
      </c>
      <c r="N684" s="212">
        <v>383</v>
      </c>
      <c r="O684" s="212"/>
    </row>
    <row r="685" spans="2:15" s="475" customFormat="1" x14ac:dyDescent="0.3">
      <c r="B685" s="9" t="s">
        <v>598</v>
      </c>
      <c r="C685" s="45" t="s">
        <v>187</v>
      </c>
      <c r="D685" s="19"/>
      <c r="E685" s="47"/>
      <c r="F685" s="47"/>
      <c r="G685" s="150"/>
      <c r="H685" s="150"/>
      <c r="I685" s="150"/>
      <c r="J685" s="150"/>
      <c r="K685" s="150"/>
      <c r="L685" s="212">
        <v>315</v>
      </c>
      <c r="M685" s="212">
        <v>333</v>
      </c>
      <c r="N685" s="212">
        <v>318</v>
      </c>
      <c r="O685" s="212"/>
    </row>
    <row r="686" spans="2:15" s="475" customFormat="1" x14ac:dyDescent="0.3">
      <c r="B686" s="9" t="s">
        <v>598</v>
      </c>
      <c r="C686" s="59" t="s">
        <v>188</v>
      </c>
      <c r="D686" s="10"/>
      <c r="E686" s="40"/>
      <c r="F686" s="40"/>
      <c r="G686" s="149"/>
      <c r="H686" s="149"/>
      <c r="I686" s="149"/>
      <c r="J686" s="149"/>
      <c r="K686" s="149"/>
      <c r="L686" s="212">
        <v>128</v>
      </c>
      <c r="M686" s="212">
        <v>142</v>
      </c>
      <c r="N686" s="212">
        <v>136</v>
      </c>
      <c r="O686" s="212"/>
    </row>
    <row r="687" spans="2:15" s="475" customFormat="1" x14ac:dyDescent="0.3">
      <c r="B687" s="9" t="s">
        <v>598</v>
      </c>
      <c r="C687" s="45" t="s">
        <v>243</v>
      </c>
      <c r="D687" s="19"/>
      <c r="E687" s="47"/>
      <c r="F687" s="47"/>
      <c r="G687" s="150"/>
      <c r="H687" s="150"/>
      <c r="I687" s="150"/>
      <c r="J687" s="150"/>
      <c r="K687" s="150"/>
      <c r="L687" s="212">
        <v>73</v>
      </c>
      <c r="M687" s="212">
        <v>81</v>
      </c>
      <c r="N687" s="212">
        <v>75</v>
      </c>
      <c r="O687" s="212"/>
    </row>
    <row r="688" spans="2:15" s="475" customFormat="1" x14ac:dyDescent="0.3">
      <c r="B688" s="9" t="s">
        <v>598</v>
      </c>
      <c r="C688" s="59" t="s">
        <v>244</v>
      </c>
      <c r="D688" s="10"/>
      <c r="E688" s="40"/>
      <c r="F688" s="40"/>
      <c r="G688" s="149"/>
      <c r="H688" s="149"/>
      <c r="I688" s="149"/>
      <c r="J688" s="149"/>
      <c r="K688" s="149"/>
      <c r="L688" s="212">
        <v>350</v>
      </c>
      <c r="M688" s="212">
        <v>397</v>
      </c>
      <c r="N688" s="212">
        <v>388</v>
      </c>
      <c r="O688" s="212"/>
    </row>
    <row r="689" spans="2:15" s="475" customFormat="1" x14ac:dyDescent="0.3">
      <c r="B689" s="9" t="s">
        <v>598</v>
      </c>
      <c r="C689" s="59" t="s">
        <v>346</v>
      </c>
      <c r="D689" s="10"/>
      <c r="E689" s="40"/>
      <c r="F689" s="40"/>
      <c r="G689" s="149"/>
      <c r="H689" s="149"/>
      <c r="I689" s="149"/>
      <c r="J689" s="149"/>
      <c r="K689" s="149"/>
      <c r="L689" s="524"/>
      <c r="M689" s="524"/>
      <c r="N689" s="523">
        <v>661</v>
      </c>
      <c r="O689" s="523"/>
    </row>
    <row r="690" spans="2:15" s="475" customFormat="1" x14ac:dyDescent="0.3">
      <c r="B690" s="9" t="s">
        <v>598</v>
      </c>
      <c r="C690" s="123" t="s">
        <v>191</v>
      </c>
      <c r="D690" s="128"/>
      <c r="E690" s="139"/>
      <c r="F690" s="139"/>
      <c r="G690" s="159"/>
      <c r="H690" s="159"/>
      <c r="I690" s="159"/>
      <c r="J690" s="159"/>
      <c r="K690" s="159"/>
      <c r="L690" s="212">
        <v>175</v>
      </c>
      <c r="M690" s="212">
        <v>193</v>
      </c>
      <c r="N690" s="212">
        <v>183</v>
      </c>
      <c r="O690" s="212"/>
    </row>
    <row r="691" spans="2:15" s="475" customFormat="1" x14ac:dyDescent="0.3">
      <c r="B691" s="9" t="s">
        <v>598</v>
      </c>
      <c r="C691" s="27" t="s">
        <v>245</v>
      </c>
      <c r="D691" s="10"/>
      <c r="E691" s="40"/>
      <c r="F691" s="40"/>
      <c r="G691" s="149"/>
      <c r="H691" s="149"/>
      <c r="I691" s="149"/>
      <c r="J691" s="149"/>
      <c r="K691" s="149"/>
      <c r="L691" s="212">
        <v>674</v>
      </c>
      <c r="M691" s="212">
        <v>721</v>
      </c>
      <c r="N691" s="212">
        <v>725</v>
      </c>
      <c r="O691" s="212"/>
    </row>
    <row r="692" spans="2:15" s="475" customFormat="1" x14ac:dyDescent="0.3">
      <c r="B692" s="525" t="s">
        <v>723</v>
      </c>
      <c r="C692" s="526"/>
      <c r="D692" s="527"/>
      <c r="E692" s="525"/>
      <c r="F692" s="525"/>
      <c r="G692" s="528"/>
      <c r="H692" s="528"/>
      <c r="I692" s="528"/>
      <c r="J692" s="528"/>
      <c r="K692" s="528"/>
      <c r="L692" s="529">
        <f>SUM(L664:L691)</f>
        <v>22032</v>
      </c>
      <c r="M692" s="529">
        <v>23506</v>
      </c>
      <c r="N692" s="529">
        <f>SUM(N690:N691,N664:N688)</f>
        <v>22808</v>
      </c>
      <c r="O692" s="529"/>
    </row>
    <row r="693" spans="2:15" s="475" customFormat="1" ht="29.4" thickBot="1" x14ac:dyDescent="0.35">
      <c r="B693" s="530" t="s">
        <v>724</v>
      </c>
      <c r="C693" s="531"/>
      <c r="D693" s="532"/>
      <c r="E693" s="533"/>
      <c r="F693" s="533"/>
      <c r="G693" s="534"/>
      <c r="H693" s="534"/>
      <c r="I693" s="534"/>
      <c r="J693" s="655"/>
      <c r="K693" s="655"/>
      <c r="L693" s="535">
        <f>L694-L692</f>
        <v>16237</v>
      </c>
      <c r="M693" s="535">
        <v>14888</v>
      </c>
      <c r="N693" s="535">
        <v>15181</v>
      </c>
      <c r="O693" s="593"/>
    </row>
    <row r="694" spans="2:15" s="475" customFormat="1" ht="15" thickBot="1" x14ac:dyDescent="0.35">
      <c r="B694" s="521" t="s">
        <v>599</v>
      </c>
      <c r="C694" s="392"/>
      <c r="D694" s="50"/>
      <c r="E694" s="51"/>
      <c r="F694" s="51"/>
      <c r="G694" s="151"/>
      <c r="H694" s="151"/>
      <c r="I694" s="151"/>
      <c r="J694" s="654">
        <f>SUM(J696:J708)</f>
        <v>14273</v>
      </c>
      <c r="K694" s="654">
        <f>SUM(K696:K708)</f>
        <v>15402</v>
      </c>
      <c r="L694" s="522">
        <v>38269</v>
      </c>
      <c r="M694" s="522">
        <v>38269</v>
      </c>
      <c r="N694" s="522">
        <f>SUM(N693,N692)</f>
        <v>37989</v>
      </c>
      <c r="O694" s="594"/>
    </row>
    <row r="695" spans="2:15" s="475" customFormat="1" x14ac:dyDescent="0.3">
      <c r="B695" s="521"/>
      <c r="C695" s="392"/>
      <c r="D695" s="50"/>
      <c r="E695" s="51"/>
      <c r="F695" s="51"/>
      <c r="G695" s="151"/>
      <c r="H695" s="151"/>
      <c r="I695" s="151"/>
      <c r="J695" s="151"/>
      <c r="K695" s="151"/>
      <c r="L695" s="594"/>
      <c r="M695" s="594"/>
      <c r="N695" s="594"/>
      <c r="O695" s="594"/>
    </row>
    <row r="696" spans="2:15" s="475" customFormat="1" x14ac:dyDescent="0.3">
      <c r="B696" s="44" t="s">
        <v>474</v>
      </c>
      <c r="C696" s="59" t="s">
        <v>239</v>
      </c>
      <c r="H696" s="7"/>
      <c r="I696" s="7"/>
      <c r="J696" s="7">
        <v>198</v>
      </c>
      <c r="K696" s="7">
        <v>209</v>
      </c>
      <c r="L696" s="7"/>
      <c r="M696" s="7"/>
      <c r="N696" s="7"/>
      <c r="O696" s="7"/>
    </row>
    <row r="697" spans="2:15" s="475" customFormat="1" x14ac:dyDescent="0.3">
      <c r="B697" s="9" t="s">
        <v>474</v>
      </c>
      <c r="C697" s="45" t="s">
        <v>240</v>
      </c>
      <c r="H697" s="7"/>
      <c r="I697" s="7"/>
      <c r="J697" s="7">
        <v>11027</v>
      </c>
      <c r="K697" s="7">
        <v>11906</v>
      </c>
      <c r="L697" s="7"/>
      <c r="M697" s="7"/>
      <c r="N697" s="7"/>
      <c r="O697" s="7"/>
    </row>
    <row r="698" spans="2:15" s="475" customFormat="1" x14ac:dyDescent="0.3">
      <c r="B698" s="44" t="s">
        <v>474</v>
      </c>
      <c r="C698" s="59" t="s">
        <v>241</v>
      </c>
      <c r="H698" s="7"/>
      <c r="I698" s="7"/>
      <c r="J698" s="7">
        <v>66</v>
      </c>
      <c r="K698" s="7">
        <v>70</v>
      </c>
      <c r="L698" s="7"/>
      <c r="M698" s="7"/>
      <c r="N698" s="7"/>
      <c r="O698" s="7"/>
    </row>
    <row r="699" spans="2:15" s="475" customFormat="1" x14ac:dyDescent="0.3">
      <c r="B699" s="9" t="s">
        <v>474</v>
      </c>
      <c r="C699" s="45" t="s">
        <v>183</v>
      </c>
      <c r="H699" s="7"/>
      <c r="I699" s="7"/>
      <c r="J699" s="7">
        <v>600</v>
      </c>
      <c r="K699" s="7">
        <v>647</v>
      </c>
      <c r="L699" s="7"/>
      <c r="M699" s="7"/>
      <c r="N699" s="7"/>
      <c r="O699" s="7"/>
    </row>
    <row r="700" spans="2:15" s="475" customFormat="1" x14ac:dyDescent="0.3">
      <c r="B700" s="44" t="s">
        <v>474</v>
      </c>
      <c r="C700" s="59" t="s">
        <v>184</v>
      </c>
      <c r="H700" s="7"/>
      <c r="I700" s="7"/>
      <c r="J700" s="7">
        <v>324</v>
      </c>
      <c r="K700" s="7">
        <v>349</v>
      </c>
      <c r="L700" s="7"/>
      <c r="M700" s="7"/>
      <c r="N700" s="7"/>
      <c r="O700" s="7"/>
    </row>
    <row r="701" spans="2:15" s="475" customFormat="1" x14ac:dyDescent="0.3">
      <c r="B701" s="9" t="s">
        <v>474</v>
      </c>
      <c r="C701" s="45" t="s">
        <v>185</v>
      </c>
      <c r="H701" s="7"/>
      <c r="I701" s="7"/>
      <c r="J701" s="7">
        <v>24</v>
      </c>
      <c r="K701" s="7">
        <v>25</v>
      </c>
      <c r="L701" s="7"/>
      <c r="M701" s="7"/>
      <c r="N701" s="7"/>
      <c r="O701" s="7"/>
    </row>
    <row r="702" spans="2:15" s="475" customFormat="1" x14ac:dyDescent="0.3">
      <c r="B702" s="44" t="s">
        <v>474</v>
      </c>
      <c r="C702" s="59" t="s">
        <v>242</v>
      </c>
      <c r="H702" s="7"/>
      <c r="I702" s="7"/>
      <c r="J702" s="7">
        <v>339</v>
      </c>
      <c r="K702" s="7">
        <v>365</v>
      </c>
      <c r="L702" s="7"/>
      <c r="M702" s="7"/>
      <c r="N702" s="7"/>
      <c r="O702" s="7"/>
    </row>
    <row r="703" spans="2:15" s="475" customFormat="1" x14ac:dyDescent="0.3">
      <c r="B703" s="9" t="s">
        <v>474</v>
      </c>
      <c r="C703" s="45" t="s">
        <v>187</v>
      </c>
      <c r="H703" s="7"/>
      <c r="I703" s="7"/>
      <c r="J703" s="7">
        <v>313</v>
      </c>
      <c r="K703" s="7">
        <v>343</v>
      </c>
      <c r="L703" s="7"/>
      <c r="M703" s="7"/>
      <c r="N703" s="7"/>
      <c r="O703" s="7"/>
    </row>
    <row r="704" spans="2:15" s="475" customFormat="1" x14ac:dyDescent="0.3">
      <c r="B704" s="44" t="s">
        <v>474</v>
      </c>
      <c r="C704" s="59" t="s">
        <v>188</v>
      </c>
      <c r="H704" s="7"/>
      <c r="I704" s="7"/>
      <c r="J704" s="7">
        <v>129</v>
      </c>
      <c r="K704" s="7">
        <v>138</v>
      </c>
      <c r="L704" s="7"/>
      <c r="M704" s="7"/>
      <c r="N704" s="7"/>
      <c r="O704" s="7"/>
    </row>
    <row r="705" spans="2:15" s="475" customFormat="1" x14ac:dyDescent="0.3">
      <c r="B705" s="9" t="s">
        <v>474</v>
      </c>
      <c r="C705" s="45" t="s">
        <v>243</v>
      </c>
      <c r="H705" s="7"/>
      <c r="I705" s="7"/>
      <c r="J705" s="7">
        <v>76</v>
      </c>
      <c r="K705" s="7">
        <v>79</v>
      </c>
      <c r="L705" s="7"/>
      <c r="M705" s="7"/>
      <c r="N705" s="7"/>
      <c r="O705" s="7"/>
    </row>
    <row r="706" spans="2:15" s="475" customFormat="1" x14ac:dyDescent="0.3">
      <c r="B706" s="44" t="s">
        <v>474</v>
      </c>
      <c r="C706" s="59" t="s">
        <v>244</v>
      </c>
      <c r="H706" s="7"/>
      <c r="I706" s="7"/>
      <c r="J706" s="7">
        <v>349</v>
      </c>
      <c r="K706" s="7">
        <v>378</v>
      </c>
      <c r="L706" s="7"/>
      <c r="M706" s="7"/>
      <c r="N706" s="7"/>
      <c r="O706" s="7"/>
    </row>
    <row r="707" spans="2:15" s="475" customFormat="1" x14ac:dyDescent="0.3">
      <c r="B707" s="9" t="s">
        <v>474</v>
      </c>
      <c r="C707" s="123" t="s">
        <v>191</v>
      </c>
      <c r="H707" s="7"/>
      <c r="I707" s="7"/>
      <c r="J707" s="7">
        <v>172</v>
      </c>
      <c r="K707" s="7">
        <v>186</v>
      </c>
      <c r="L707" s="7"/>
      <c r="M707" s="7"/>
      <c r="N707" s="7"/>
      <c r="O707" s="7"/>
    </row>
    <row r="708" spans="2:15" s="475" customFormat="1" x14ac:dyDescent="0.3">
      <c r="B708" s="237" t="s">
        <v>474</v>
      </c>
      <c r="C708" s="216" t="s">
        <v>245</v>
      </c>
      <c r="D708" s="217"/>
      <c r="E708" s="217"/>
      <c r="F708" s="217"/>
      <c r="G708" s="217"/>
      <c r="H708" s="218"/>
      <c r="I708" s="218"/>
      <c r="J708" s="218">
        <v>656</v>
      </c>
      <c r="K708" s="218">
        <v>707</v>
      </c>
      <c r="L708" s="218"/>
      <c r="M708" s="36"/>
      <c r="N708" s="36"/>
      <c r="O708" s="36"/>
    </row>
    <row r="709" spans="2:15" s="475" customFormat="1" x14ac:dyDescent="0.3"/>
    <row r="710" spans="2:15" s="475" customFormat="1" x14ac:dyDescent="0.3">
      <c r="B710" s="420" t="s">
        <v>612</v>
      </c>
      <c r="C710" s="39"/>
      <c r="D710" s="39">
        <v>2007</v>
      </c>
      <c r="E710" s="39">
        <v>2008</v>
      </c>
      <c r="F710" s="39">
        <v>2009</v>
      </c>
      <c r="G710" s="39">
        <v>2010</v>
      </c>
      <c r="H710" s="39">
        <v>2011</v>
      </c>
      <c r="I710" s="39">
        <v>2012</v>
      </c>
      <c r="J710" s="39">
        <v>2013</v>
      </c>
      <c r="K710" s="39">
        <v>2014</v>
      </c>
      <c r="L710" s="39">
        <v>2015</v>
      </c>
      <c r="M710" s="39">
        <v>2016</v>
      </c>
      <c r="N710" s="39">
        <v>2017</v>
      </c>
      <c r="O710" s="39"/>
    </row>
    <row r="711" spans="2:15" s="475" customFormat="1" ht="15" thickBot="1" x14ac:dyDescent="0.35">
      <c r="B711" s="515" t="s">
        <v>613</v>
      </c>
      <c r="C711" s="516"/>
      <c r="D711" s="516" t="s">
        <v>514</v>
      </c>
      <c r="E711" s="516" t="s">
        <v>514</v>
      </c>
      <c r="F711" s="516" t="s">
        <v>514</v>
      </c>
      <c r="G711" s="516" t="s">
        <v>514</v>
      </c>
      <c r="H711" s="516" t="s">
        <v>514</v>
      </c>
      <c r="I711" s="516" t="s">
        <v>514</v>
      </c>
      <c r="J711" s="516" t="s">
        <v>514</v>
      </c>
      <c r="K711" s="517">
        <v>1030232</v>
      </c>
      <c r="L711" s="517">
        <v>1095045</v>
      </c>
      <c r="M711" s="517">
        <v>1232250</v>
      </c>
      <c r="N711" s="517">
        <v>1286583</v>
      </c>
      <c r="O711" s="595"/>
    </row>
    <row r="712" spans="2:15" s="475" customFormat="1" ht="15" thickBot="1" x14ac:dyDescent="0.35">
      <c r="B712" s="518" t="s">
        <v>560</v>
      </c>
      <c r="C712" s="180"/>
      <c r="D712" s="180" t="s">
        <v>514</v>
      </c>
      <c r="E712" s="180" t="s">
        <v>514</v>
      </c>
      <c r="F712" s="180" t="s">
        <v>514</v>
      </c>
      <c r="G712" s="180" t="s">
        <v>514</v>
      </c>
      <c r="H712" s="180" t="s">
        <v>514</v>
      </c>
      <c r="I712" s="180" t="s">
        <v>514</v>
      </c>
      <c r="J712" s="180" t="s">
        <v>514</v>
      </c>
      <c r="K712" s="519">
        <v>450402</v>
      </c>
      <c r="L712" s="519">
        <v>467583</v>
      </c>
      <c r="M712" s="519">
        <v>708443</v>
      </c>
      <c r="N712" s="519">
        <v>721668</v>
      </c>
      <c r="O712" s="595"/>
    </row>
    <row r="713" spans="2:15" s="475" customFormat="1" x14ac:dyDescent="0.3">
      <c r="B713" s="419" t="s">
        <v>720</v>
      </c>
      <c r="K713" s="295">
        <v>366682</v>
      </c>
      <c r="L713" s="295">
        <v>422306</v>
      </c>
      <c r="M713" s="295">
        <v>470893</v>
      </c>
      <c r="N713" s="295">
        <v>600485</v>
      </c>
      <c r="O713" s="295"/>
    </row>
    <row r="714" spans="2:15" s="475" customFormat="1" x14ac:dyDescent="0.3">
      <c r="B714" s="419" t="s">
        <v>719</v>
      </c>
      <c r="K714" s="295">
        <v>17529</v>
      </c>
      <c r="L714" s="295">
        <v>27386</v>
      </c>
      <c r="M714" s="295">
        <v>26092</v>
      </c>
      <c r="N714" s="295">
        <v>32458</v>
      </c>
      <c r="O714" s="295"/>
    </row>
    <row r="715" spans="2:15" s="475" customFormat="1" x14ac:dyDescent="0.3">
      <c r="B715" s="419" t="s">
        <v>721</v>
      </c>
      <c r="K715" s="295">
        <v>66191</v>
      </c>
      <c r="L715" s="295">
        <v>17891</v>
      </c>
      <c r="M715" s="295">
        <v>211458</v>
      </c>
      <c r="N715" s="295">
        <v>88725</v>
      </c>
      <c r="O715" s="295"/>
    </row>
    <row r="716" spans="2:15" s="475" customFormat="1" x14ac:dyDescent="0.3">
      <c r="B716" s="419" t="s">
        <v>722</v>
      </c>
      <c r="K716" s="520">
        <f>K711-K712</f>
        <v>579830</v>
      </c>
      <c r="L716" s="295">
        <f>L711-L712</f>
        <v>627462</v>
      </c>
      <c r="M716" s="295">
        <f>M711-M712</f>
        <v>523807</v>
      </c>
      <c r="N716" s="295">
        <f>N711-N712</f>
        <v>564915</v>
      </c>
      <c r="O716" s="295"/>
    </row>
    <row r="717" spans="2:15" s="475" customFormat="1" x14ac:dyDescent="0.3">
      <c r="B717" s="419"/>
      <c r="L717" s="295"/>
      <c r="M717" s="295"/>
      <c r="N717" s="295"/>
      <c r="O717" s="295"/>
    </row>
    <row r="718" spans="2:15" s="475" customFormat="1" x14ac:dyDescent="0.3">
      <c r="B718" s="419"/>
      <c r="K718" s="598" t="s">
        <v>774</v>
      </c>
      <c r="L718" s="295"/>
      <c r="M718" s="295"/>
      <c r="N718" s="295"/>
      <c r="O718" s="295"/>
    </row>
    <row r="719" spans="2:15" s="475" customFormat="1" ht="23.4" x14ac:dyDescent="0.45">
      <c r="B719" s="166" t="s">
        <v>490</v>
      </c>
      <c r="C719" s="166"/>
      <c r="D719" s="167">
        <v>2007</v>
      </c>
      <c r="E719" s="167">
        <v>2008</v>
      </c>
      <c r="F719" s="167">
        <v>2009</v>
      </c>
      <c r="G719" s="167">
        <v>2010</v>
      </c>
      <c r="H719" s="167">
        <v>2011</v>
      </c>
      <c r="I719" s="167">
        <v>2012</v>
      </c>
      <c r="J719" s="167">
        <v>2013</v>
      </c>
      <c r="K719" s="167">
        <v>2014</v>
      </c>
      <c r="L719" s="167">
        <v>2015</v>
      </c>
      <c r="M719" s="167">
        <v>2016</v>
      </c>
      <c r="N719" s="167">
        <v>2017</v>
      </c>
      <c r="O719" s="167" t="s">
        <v>846</v>
      </c>
    </row>
    <row r="720" spans="2:15" s="475" customFormat="1" x14ac:dyDescent="0.3">
      <c r="B720" s="168"/>
      <c r="C720" s="168"/>
      <c r="D720" s="165"/>
      <c r="E720" s="168"/>
      <c r="F720" s="165"/>
      <c r="G720" s="165"/>
      <c r="H720" s="165"/>
      <c r="I720" s="165"/>
      <c r="J720" s="165"/>
      <c r="K720" s="165"/>
      <c r="L720" s="165"/>
      <c r="M720" s="165"/>
      <c r="N720" s="165"/>
      <c r="O720" s="165"/>
    </row>
    <row r="721" spans="2:19" s="475" customFormat="1" x14ac:dyDescent="0.3">
      <c r="B721" s="52" t="s">
        <v>492</v>
      </c>
      <c r="C721" s="164"/>
      <c r="D721" s="164">
        <f t="shared" ref="D721:K721" si="16">D19+D130+D214+D293</f>
        <v>4478101</v>
      </c>
      <c r="E721" s="164">
        <f t="shared" si="16"/>
        <v>13700201</v>
      </c>
      <c r="F721" s="164">
        <f t="shared" si="16"/>
        <v>0</v>
      </c>
      <c r="G721" s="164">
        <f t="shared" si="16"/>
        <v>30076229</v>
      </c>
      <c r="H721" s="164">
        <f t="shared" si="16"/>
        <v>27295899</v>
      </c>
      <c r="I721" s="164">
        <f t="shared" si="16"/>
        <v>33869227</v>
      </c>
      <c r="J721" s="164">
        <f t="shared" si="16"/>
        <v>32320643</v>
      </c>
      <c r="K721" s="164">
        <f t="shared" si="16"/>
        <v>31573838</v>
      </c>
      <c r="L721" s="164">
        <f>SUM(L712,K293,L214,L130,L19)</f>
        <v>73257216</v>
      </c>
      <c r="M721" s="164">
        <f>SUM(M712,L293,M214,M130,M19)</f>
        <v>72279074</v>
      </c>
      <c r="N721" s="164">
        <f>SUM(N712,M293,N214,N130,N19)</f>
        <v>30757840</v>
      </c>
      <c r="O721" s="164"/>
    </row>
    <row r="722" spans="2:19" s="475" customFormat="1" x14ac:dyDescent="0.3">
      <c r="B722" s="686" t="s">
        <v>493</v>
      </c>
      <c r="C722" s="686"/>
      <c r="D722" s="686"/>
      <c r="E722" s="686"/>
      <c r="F722" s="686"/>
      <c r="G722" s="686"/>
      <c r="H722" s="686"/>
      <c r="I722" s="686"/>
    </row>
    <row r="723" spans="2:19" s="475" customFormat="1" x14ac:dyDescent="0.3">
      <c r="B723" s="12"/>
      <c r="C723" s="12"/>
      <c r="D723" s="12"/>
      <c r="E723" s="12"/>
      <c r="F723" s="12"/>
      <c r="G723" s="12"/>
      <c r="H723" s="12"/>
      <c r="I723" s="12"/>
      <c r="J723" s="12"/>
      <c r="K723" s="12"/>
      <c r="L723" s="12"/>
      <c r="M723" s="12"/>
      <c r="N723" s="12"/>
      <c r="O723" s="12"/>
    </row>
    <row r="724" spans="2:19" s="475" customFormat="1" x14ac:dyDescent="0.3">
      <c r="B724" s="475" t="s">
        <v>838</v>
      </c>
      <c r="D724" s="239">
        <f>SUM(D694,D552,D542,D529,D474,D297,D137,D31)</f>
        <v>2684</v>
      </c>
      <c r="E724" s="239">
        <f>SUM(E694,E552,E542,E529,E474,E297,E137,E31)</f>
        <v>11045</v>
      </c>
      <c r="F724" s="239">
        <f>SUM(F694,F552,F542,F529,F474,F297,F137,F31)</f>
        <v>0</v>
      </c>
      <c r="G724" s="239">
        <f>SUM(G694,G552,G542,G529,G474,G297,G137,G31)</f>
        <v>144</v>
      </c>
      <c r="H724" s="239">
        <f t="shared" ref="H724:N724" si="17">SUM(H694,H552,H542,H529,H474,H297,H137,H31)</f>
        <v>22418</v>
      </c>
      <c r="I724" s="239">
        <f t="shared" si="17"/>
        <v>25581</v>
      </c>
      <c r="J724" s="239">
        <f t="shared" si="17"/>
        <v>42326</v>
      </c>
      <c r="K724" s="239">
        <f t="shared" si="17"/>
        <v>43951</v>
      </c>
      <c r="L724" s="239">
        <f t="shared" si="17"/>
        <v>66847</v>
      </c>
      <c r="M724" s="239">
        <f t="shared" si="17"/>
        <v>65378</v>
      </c>
      <c r="N724" s="239">
        <f t="shared" si="17"/>
        <v>64271</v>
      </c>
    </row>
    <row r="725" spans="2:19" s="475" customFormat="1" x14ac:dyDescent="0.3">
      <c r="B725" s="475" t="s">
        <v>847</v>
      </c>
      <c r="N725" s="657">
        <f>SUM(D724:N724)</f>
        <v>344645</v>
      </c>
    </row>
    <row r="726" spans="2:19" s="475" customFormat="1" x14ac:dyDescent="0.3"/>
    <row r="727" spans="2:19" s="475" customFormat="1" x14ac:dyDescent="0.3"/>
    <row r="728" spans="2:19" s="475" customFormat="1" x14ac:dyDescent="0.3"/>
    <row r="729" spans="2:19" s="475" customFormat="1" x14ac:dyDescent="0.3"/>
    <row r="730" spans="2:19" s="475" customFormat="1" x14ac:dyDescent="0.3"/>
    <row r="731" spans="2:19" s="475" customFormat="1" x14ac:dyDescent="0.3"/>
    <row r="732" spans="2:19" s="475" customFormat="1" x14ac:dyDescent="0.3">
      <c r="P732"/>
      <c r="Q732"/>
      <c r="R732"/>
      <c r="S732"/>
    </row>
    <row r="733" spans="2:19" s="475" customFormat="1" x14ac:dyDescent="0.3">
      <c r="P733"/>
      <c r="Q733"/>
      <c r="R733"/>
      <c r="S733"/>
    </row>
  </sheetData>
  <mergeCells count="90">
    <mergeCell ref="B137:C137"/>
    <mergeCell ref="B474:C474"/>
    <mergeCell ref="B551:C551"/>
    <mergeCell ref="B722:I722"/>
    <mergeCell ref="B559:C559"/>
    <mergeCell ref="B564:C564"/>
    <mergeCell ref="B614:C614"/>
    <mergeCell ref="B615:C615"/>
    <mergeCell ref="B616:C616"/>
    <mergeCell ref="B602:C602"/>
    <mergeCell ref="B608:C608"/>
    <mergeCell ref="B609:C609"/>
    <mergeCell ref="B552:C552"/>
    <mergeCell ref="B530:C530"/>
    <mergeCell ref="B531:C531"/>
    <mergeCell ref="B539:C539"/>
    <mergeCell ref="B541:C541"/>
    <mergeCell ref="B549:C549"/>
    <mergeCell ref="B542:C542"/>
    <mergeCell ref="B470:C470"/>
    <mergeCell ref="B481:C481"/>
    <mergeCell ref="B524:C524"/>
    <mergeCell ref="B527:C527"/>
    <mergeCell ref="B528:C528"/>
    <mergeCell ref="B529:C529"/>
    <mergeCell ref="B296:C296"/>
    <mergeCell ref="B302:C302"/>
    <mergeCell ref="B340:C340"/>
    <mergeCell ref="B345:C345"/>
    <mergeCell ref="B469:C469"/>
    <mergeCell ref="B290:C290"/>
    <mergeCell ref="B289:C289"/>
    <mergeCell ref="B292:C292"/>
    <mergeCell ref="B293:C293"/>
    <mergeCell ref="B294:C294"/>
    <mergeCell ref="B27:C27"/>
    <mergeCell ref="B473:C473"/>
    <mergeCell ref="B522:C522"/>
    <mergeCell ref="B523:C523"/>
    <mergeCell ref="B132:C132"/>
    <mergeCell ref="B129:C129"/>
    <mergeCell ref="B135:C135"/>
    <mergeCell ref="B136:C136"/>
    <mergeCell ref="B214:C214"/>
    <mergeCell ref="B209:C209"/>
    <mergeCell ref="B207:C207"/>
    <mergeCell ref="B208:C208"/>
    <mergeCell ref="B210:C210"/>
    <mergeCell ref="B206:C206"/>
    <mergeCell ref="B286:C286"/>
    <mergeCell ref="B338:C338"/>
    <mergeCell ref="B31:C31"/>
    <mergeCell ref="B28:C28"/>
    <mergeCell ref="B29:C29"/>
    <mergeCell ref="B30:C30"/>
    <mergeCell ref="B32:C32"/>
    <mergeCell ref="C1:E1"/>
    <mergeCell ref="B19:C19"/>
    <mergeCell ref="B25:C25"/>
    <mergeCell ref="B15:C15"/>
    <mergeCell ref="B16:C16"/>
    <mergeCell ref="B24:C24"/>
    <mergeCell ref="B18:C18"/>
    <mergeCell ref="B20:C20"/>
    <mergeCell ref="B21:C21"/>
    <mergeCell ref="B22:C22"/>
    <mergeCell ref="B23:C23"/>
    <mergeCell ref="B33:C33"/>
    <mergeCell ref="B34:C34"/>
    <mergeCell ref="B38:C38"/>
    <mergeCell ref="B287:C287"/>
    <mergeCell ref="B55:C55"/>
    <mergeCell ref="C56:E56"/>
    <mergeCell ref="B138:C138"/>
    <mergeCell ref="B140:C140"/>
    <mergeCell ref="B205:C205"/>
    <mergeCell ref="B211:C211"/>
    <mergeCell ref="B213:C213"/>
    <mergeCell ref="B215:C215"/>
    <mergeCell ref="B216:C216"/>
    <mergeCell ref="B217:C217"/>
    <mergeCell ref="B219:C219"/>
    <mergeCell ref="B221:C221"/>
    <mergeCell ref="F56:H56"/>
    <mergeCell ref="B124:C124"/>
    <mergeCell ref="B133:C133"/>
    <mergeCell ref="B130:C130"/>
    <mergeCell ref="B126:C126"/>
    <mergeCell ref="B123:C123"/>
    <mergeCell ref="B125:C125"/>
  </mergeCells>
  <pageMargins left="0.70866141732283472" right="0.70866141732283472" top="0.74803149606299213" bottom="0.74803149606299213" header="0.31496062992125984" footer="0.31496062992125984"/>
  <pageSetup scale="72" fitToHeight="2" orientation="landscape" r:id="rId1"/>
  <headerFooter>
    <oddHeader>&amp;RPage &amp;P of &amp;N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37"/>
  <sheetViews>
    <sheetView zoomScale="85" zoomScaleNormal="85" workbookViewId="0">
      <selection activeCell="K12" sqref="K12"/>
    </sheetView>
  </sheetViews>
  <sheetFormatPr defaultColWidth="8.77734375" defaultRowHeight="14.4" x14ac:dyDescent="0.3"/>
  <cols>
    <col min="1" max="1" width="3" customWidth="1"/>
    <col min="2" max="2" width="46.44140625" customWidth="1"/>
    <col min="3" max="3" width="16.77734375" customWidth="1"/>
    <col min="4" max="6" width="13.109375" customWidth="1"/>
    <col min="7" max="9" width="10.44140625" bestFit="1" customWidth="1"/>
    <col min="12" max="12" width="34.33203125" customWidth="1"/>
    <col min="13" max="15" width="10.44140625" bestFit="1" customWidth="1"/>
  </cols>
  <sheetData>
    <row r="1" spans="2:9" ht="15" thickBot="1" x14ac:dyDescent="0.35">
      <c r="C1" s="53" t="s">
        <v>706</v>
      </c>
    </row>
    <row r="2" spans="2:9" ht="29.4" thickBot="1" x14ac:dyDescent="0.6">
      <c r="B2" s="135" t="s">
        <v>717</v>
      </c>
      <c r="C2" s="136"/>
      <c r="D2" s="180"/>
      <c r="E2" s="180"/>
      <c r="F2" s="181"/>
    </row>
    <row r="4" spans="2:9" ht="23.4" x14ac:dyDescent="0.45">
      <c r="B4" s="30" t="s">
        <v>594</v>
      </c>
      <c r="C4" s="30"/>
      <c r="D4" s="5"/>
      <c r="E4" s="5"/>
      <c r="F4" s="5"/>
      <c r="G4" s="5"/>
      <c r="H4" s="5"/>
      <c r="I4" s="5"/>
    </row>
    <row r="5" spans="2:9" x14ac:dyDescent="0.3">
      <c r="B5" s="32"/>
      <c r="C5" s="32"/>
      <c r="D5" s="39">
        <v>2012</v>
      </c>
      <c r="E5" s="39">
        <v>2013</v>
      </c>
      <c r="F5" s="39">
        <v>2014</v>
      </c>
      <c r="G5" s="39">
        <v>2015</v>
      </c>
      <c r="H5" s="39">
        <v>2016</v>
      </c>
      <c r="I5" s="39">
        <v>2017</v>
      </c>
    </row>
    <row r="6" spans="2:9" x14ac:dyDescent="0.3">
      <c r="B6" s="11" t="s">
        <v>10</v>
      </c>
      <c r="C6" s="11"/>
      <c r="D6" s="21"/>
      <c r="E6" s="21"/>
      <c r="F6" s="21"/>
      <c r="G6" s="21"/>
      <c r="H6" s="21"/>
      <c r="I6" s="21"/>
    </row>
    <row r="7" spans="2:9" x14ac:dyDescent="0.3">
      <c r="B7" s="48" t="s">
        <v>484</v>
      </c>
      <c r="C7" s="49" t="s">
        <v>214</v>
      </c>
      <c r="D7" s="51">
        <f>D13/'Bevs(2000-2017)'!P294</f>
        <v>2.7586082402056311</v>
      </c>
      <c r="E7" s="151"/>
      <c r="F7" s="51">
        <v>2.8130000000000002</v>
      </c>
      <c r="G7" s="51">
        <v>4.2300000000000004</v>
      </c>
      <c r="H7" s="51" t="e">
        <f>H11/'BC Population Stats '!#REF!</f>
        <v>#REF!</v>
      </c>
      <c r="I7" s="51"/>
    </row>
    <row r="8" spans="2:9" x14ac:dyDescent="0.3">
      <c r="B8" s="693" t="s">
        <v>476</v>
      </c>
      <c r="C8" s="690"/>
      <c r="D8" s="37">
        <v>170</v>
      </c>
      <c r="E8" s="37"/>
      <c r="F8" s="37">
        <v>178</v>
      </c>
      <c r="G8" s="37">
        <v>179</v>
      </c>
      <c r="H8" s="37">
        <v>185</v>
      </c>
      <c r="I8" s="37">
        <v>238</v>
      </c>
    </row>
    <row r="9" spans="2:9" x14ac:dyDescent="0.3">
      <c r="B9" s="153" t="s">
        <v>477</v>
      </c>
      <c r="C9" s="154"/>
      <c r="D9" s="37">
        <v>22</v>
      </c>
      <c r="E9" s="37"/>
      <c r="F9" s="37">
        <v>21</v>
      </c>
      <c r="G9" s="37">
        <v>21</v>
      </c>
      <c r="H9" s="37">
        <v>21</v>
      </c>
      <c r="I9" s="37">
        <v>34</v>
      </c>
    </row>
    <row r="10" spans="2:9" x14ac:dyDescent="0.3">
      <c r="B10" s="11" t="s">
        <v>8</v>
      </c>
      <c r="C10" s="11"/>
      <c r="D10" s="21"/>
      <c r="E10" s="21"/>
      <c r="F10" s="21"/>
      <c r="G10" s="21"/>
      <c r="H10" s="21"/>
      <c r="I10" s="21"/>
    </row>
    <row r="11" spans="2:9" s="6" customFormat="1" x14ac:dyDescent="0.3">
      <c r="B11" s="155" t="s">
        <v>478</v>
      </c>
      <c r="C11" s="156"/>
      <c r="D11" s="14">
        <v>14667000</v>
      </c>
      <c r="E11" s="14"/>
      <c r="F11" s="14">
        <v>16800000</v>
      </c>
      <c r="G11" s="14">
        <v>23000000</v>
      </c>
      <c r="H11" s="14">
        <v>24700000</v>
      </c>
      <c r="I11" s="14">
        <v>26011760</v>
      </c>
    </row>
    <row r="12" spans="2:9" x14ac:dyDescent="0.3">
      <c r="B12" s="155" t="s">
        <v>479</v>
      </c>
      <c r="C12" s="154"/>
      <c r="D12" s="14">
        <v>16697000</v>
      </c>
      <c r="E12" s="14"/>
      <c r="F12" s="14">
        <v>23300000</v>
      </c>
      <c r="G12" s="14" t="s">
        <v>514</v>
      </c>
      <c r="H12" s="14" t="s">
        <v>514</v>
      </c>
      <c r="I12" s="14" t="s">
        <v>514</v>
      </c>
    </row>
    <row r="13" spans="2:9" x14ac:dyDescent="0.3">
      <c r="B13" s="155" t="s">
        <v>480</v>
      </c>
      <c r="C13" s="154"/>
      <c r="D13" s="14">
        <v>12531000</v>
      </c>
      <c r="E13" s="14"/>
      <c r="F13" s="14">
        <v>12530000</v>
      </c>
      <c r="G13" s="14">
        <v>20700000</v>
      </c>
      <c r="H13" s="14">
        <v>23500000</v>
      </c>
      <c r="I13" s="14">
        <v>22746498</v>
      </c>
    </row>
    <row r="14" spans="2:9" x14ac:dyDescent="0.3">
      <c r="B14" s="155" t="s">
        <v>481</v>
      </c>
      <c r="C14" s="154"/>
      <c r="D14" s="14">
        <v>16059000</v>
      </c>
      <c r="E14" s="14"/>
      <c r="F14" s="14">
        <v>17055400</v>
      </c>
      <c r="G14" s="14" t="s">
        <v>514</v>
      </c>
      <c r="H14" s="14" t="s">
        <v>514</v>
      </c>
      <c r="I14" s="14" t="s">
        <v>514</v>
      </c>
    </row>
    <row r="15" spans="2:9" x14ac:dyDescent="0.3">
      <c r="B15" s="155" t="s">
        <v>482</v>
      </c>
      <c r="C15" s="154"/>
      <c r="D15" s="1">
        <f>D13/D11</f>
        <v>0.85436694620576803</v>
      </c>
      <c r="E15" s="14"/>
      <c r="F15" s="194">
        <v>0.90300000000000002</v>
      </c>
      <c r="G15" s="194">
        <v>0.9</v>
      </c>
      <c r="H15" s="194">
        <v>0.95</v>
      </c>
      <c r="I15" s="194">
        <v>0.874</v>
      </c>
    </row>
    <row r="16" spans="2:9" x14ac:dyDescent="0.3">
      <c r="B16" s="155" t="s">
        <v>483</v>
      </c>
      <c r="C16" s="154"/>
      <c r="D16" s="60">
        <f>D14/D12</f>
        <v>0.96178954303168229</v>
      </c>
      <c r="E16" s="14"/>
      <c r="F16" s="194">
        <v>1.0169999999999999</v>
      </c>
      <c r="G16" s="194">
        <v>0.9</v>
      </c>
      <c r="H16" s="194">
        <v>0.95</v>
      </c>
      <c r="I16" s="194">
        <v>0.874</v>
      </c>
    </row>
    <row r="17" spans="1:15" x14ac:dyDescent="0.3">
      <c r="A17" s="12"/>
      <c r="B17" s="12"/>
      <c r="C17" s="440"/>
      <c r="D17" s="12"/>
      <c r="E17" s="12"/>
      <c r="F17" s="12"/>
      <c r="G17" s="12"/>
      <c r="H17" s="12"/>
    </row>
    <row r="18" spans="1:15" ht="23.4" x14ac:dyDescent="0.45">
      <c r="A18" s="12"/>
      <c r="B18" s="441" t="s">
        <v>593</v>
      </c>
      <c r="C18" s="441"/>
      <c r="D18" s="12"/>
      <c r="E18" s="12"/>
      <c r="F18" s="12"/>
      <c r="G18" s="12"/>
      <c r="H18" s="12"/>
      <c r="L18" s="455"/>
      <c r="M18" s="239"/>
      <c r="N18" s="239"/>
      <c r="O18" s="239"/>
    </row>
    <row r="19" spans="1:15" x14ac:dyDescent="0.3">
      <c r="A19" s="12"/>
      <c r="B19" s="12"/>
      <c r="C19" s="12"/>
      <c r="D19" s="21">
        <v>2012</v>
      </c>
      <c r="E19" s="21">
        <v>2013</v>
      </c>
      <c r="F19" s="21">
        <v>2014</v>
      </c>
      <c r="G19" s="21"/>
      <c r="H19" s="12"/>
      <c r="L19" s="455"/>
      <c r="M19" s="239"/>
      <c r="N19" s="239"/>
      <c r="O19" s="239"/>
    </row>
    <row r="20" spans="1:15" x14ac:dyDescent="0.3">
      <c r="A20" s="12"/>
      <c r="B20" s="11" t="s">
        <v>10</v>
      </c>
      <c r="C20" s="11"/>
      <c r="D20" s="21"/>
      <c r="E20" s="21"/>
      <c r="F20" s="21"/>
      <c r="G20" s="21"/>
      <c r="H20" s="12"/>
      <c r="L20" s="455"/>
      <c r="M20" s="239"/>
      <c r="N20" s="239"/>
      <c r="O20" s="239"/>
    </row>
    <row r="21" spans="1:15" x14ac:dyDescent="0.3">
      <c r="A21" s="12"/>
      <c r="B21" s="442" t="s">
        <v>487</v>
      </c>
      <c r="C21" s="443" t="s">
        <v>214</v>
      </c>
      <c r="D21" s="444">
        <f>D25/'Bevs(2000-2017)'!P294</f>
        <v>0.85525441011881542</v>
      </c>
      <c r="E21" s="444">
        <f>E25/'Bevs(2000-2017)'!Q294</f>
        <v>0.6596655846812689</v>
      </c>
      <c r="F21" s="444">
        <f>F25/'Bevs(2000-2017)'!R294</f>
        <v>1.0087878983059193</v>
      </c>
      <c r="G21" s="444"/>
      <c r="H21" s="12"/>
      <c r="L21" s="455"/>
      <c r="M21" s="239"/>
      <c r="N21" s="239"/>
      <c r="O21" s="463"/>
    </row>
    <row r="22" spans="1:15" x14ac:dyDescent="0.3">
      <c r="A22" s="12"/>
      <c r="B22" s="712" t="s">
        <v>16</v>
      </c>
      <c r="C22" s="713"/>
      <c r="D22" s="445">
        <v>3</v>
      </c>
      <c r="E22" s="445">
        <v>3</v>
      </c>
      <c r="F22" s="445">
        <v>3</v>
      </c>
      <c r="G22" s="445"/>
      <c r="H22" s="12"/>
      <c r="L22" s="455"/>
      <c r="M22" s="239"/>
      <c r="N22" s="239"/>
      <c r="O22" s="239"/>
    </row>
    <row r="23" spans="1:15" x14ac:dyDescent="0.3">
      <c r="A23" s="12"/>
      <c r="B23" s="11" t="s">
        <v>8</v>
      </c>
      <c r="C23" s="11"/>
      <c r="D23" s="21"/>
      <c r="E23" s="21"/>
      <c r="F23" s="21"/>
      <c r="G23" s="21"/>
      <c r="H23" s="12"/>
    </row>
    <row r="24" spans="1:15" s="6" customFormat="1" x14ac:dyDescent="0.3">
      <c r="A24" s="12"/>
      <c r="B24" s="446" t="s">
        <v>485</v>
      </c>
      <c r="C24" s="447"/>
      <c r="D24" s="448">
        <v>2026000</v>
      </c>
      <c r="E24" s="448">
        <v>2034000</v>
      </c>
      <c r="F24" s="448">
        <v>2036629.7409999999</v>
      </c>
      <c r="G24" s="448"/>
      <c r="H24" s="12"/>
    </row>
    <row r="25" spans="1:15" x14ac:dyDescent="0.3">
      <c r="A25" s="12"/>
      <c r="B25" s="446" t="s">
        <v>486</v>
      </c>
      <c r="C25" s="443"/>
      <c r="D25" s="448">
        <v>3885000</v>
      </c>
      <c r="E25" s="448">
        <v>3023000</v>
      </c>
      <c r="F25" s="448">
        <v>4672001.4110000003</v>
      </c>
      <c r="G25" s="448"/>
      <c r="H25" s="12"/>
    </row>
    <row r="26" spans="1:15" x14ac:dyDescent="0.3">
      <c r="A26" s="12"/>
      <c r="B26" s="446" t="s">
        <v>444</v>
      </c>
      <c r="C26" s="443"/>
      <c r="D26" s="449">
        <f>D25/D24</f>
        <v>1.9175715695952615</v>
      </c>
      <c r="E26" s="449">
        <f>E25/E24</f>
        <v>1.4862340216322518</v>
      </c>
      <c r="F26" s="449">
        <v>2.23</v>
      </c>
      <c r="G26" s="449"/>
      <c r="H26" s="12"/>
    </row>
    <row r="27" spans="1:15" x14ac:dyDescent="0.3">
      <c r="A27" s="12"/>
      <c r="B27" s="12"/>
      <c r="C27" s="440"/>
      <c r="D27" s="12"/>
      <c r="E27" s="12"/>
      <c r="F27" s="12"/>
      <c r="G27" s="12"/>
      <c r="H27" s="12"/>
    </row>
    <row r="28" spans="1:15" s="6" customFormat="1" ht="23.4" x14ac:dyDescent="0.45">
      <c r="A28" s="12"/>
      <c r="B28" s="450" t="s">
        <v>490</v>
      </c>
      <c r="C28" s="450"/>
      <c r="D28" s="12"/>
      <c r="E28" s="12"/>
      <c r="F28" s="12"/>
      <c r="G28" s="12"/>
      <c r="H28" s="12"/>
    </row>
    <row r="29" spans="1:15" s="6" customFormat="1" x14ac:dyDescent="0.3">
      <c r="A29" s="12"/>
      <c r="B29" s="440"/>
      <c r="C29" s="440"/>
      <c r="D29" s="12">
        <v>2012</v>
      </c>
      <c r="E29" s="440">
        <v>2013</v>
      </c>
      <c r="F29" s="440">
        <v>2014</v>
      </c>
      <c r="G29" s="440"/>
      <c r="H29" s="12"/>
    </row>
    <row r="30" spans="1:15" x14ac:dyDescent="0.3">
      <c r="A30" s="12"/>
      <c r="B30" s="440" t="s">
        <v>492</v>
      </c>
      <c r="C30" s="451"/>
      <c r="D30" s="451">
        <v>0</v>
      </c>
      <c r="E30" s="451">
        <v>0</v>
      </c>
      <c r="F30" s="451">
        <v>0</v>
      </c>
      <c r="G30" s="451"/>
      <c r="H30" s="12"/>
      <c r="I30" s="6"/>
    </row>
    <row r="31" spans="1:15" ht="56.25" customHeight="1" x14ac:dyDescent="0.3">
      <c r="A31" s="12"/>
      <c r="B31" s="714" t="s">
        <v>493</v>
      </c>
      <c r="C31" s="714"/>
      <c r="D31" s="714"/>
      <c r="E31" s="714"/>
      <c r="F31" s="452"/>
      <c r="G31" s="452"/>
      <c r="H31" s="452"/>
      <c r="I31" s="178"/>
    </row>
    <row r="33" spans="2:8" x14ac:dyDescent="0.3">
      <c r="B33" s="23" t="s">
        <v>710</v>
      </c>
    </row>
    <row r="34" spans="2:8" x14ac:dyDescent="0.3">
      <c r="B34" t="s">
        <v>711</v>
      </c>
      <c r="C34" s="715" t="s">
        <v>713</v>
      </c>
      <c r="D34" s="715"/>
      <c r="E34" s="715"/>
      <c r="F34" s="715"/>
      <c r="G34" s="715"/>
      <c r="H34" s="715"/>
    </row>
    <row r="35" spans="2:8" x14ac:dyDescent="0.3">
      <c r="B35" t="s">
        <v>712</v>
      </c>
      <c r="C35" s="715"/>
      <c r="D35" s="715"/>
      <c r="E35" s="715"/>
      <c r="F35" s="715"/>
      <c r="G35" s="715"/>
      <c r="H35" s="715"/>
    </row>
    <row r="36" spans="2:8" x14ac:dyDescent="0.3">
      <c r="B36" t="s">
        <v>716</v>
      </c>
    </row>
    <row r="37" spans="2:8" x14ac:dyDescent="0.3">
      <c r="B37" t="s">
        <v>714</v>
      </c>
      <c r="C37" t="s">
        <v>715</v>
      </c>
    </row>
  </sheetData>
  <mergeCells count="4">
    <mergeCell ref="B22:C22"/>
    <mergeCell ref="B8:C8"/>
    <mergeCell ref="B31:E31"/>
    <mergeCell ref="C34:H35"/>
  </mergeCells>
  <pageMargins left="0.70866141732283472" right="0.70866141732283472" top="0.74803149606299213" bottom="0.74803149606299213" header="0.31496062992125984" footer="0.31496062992125984"/>
  <pageSetup fitToHeight="2" orientation="landscape" r:id="rId1"/>
  <headerFooter>
    <oddHeader>&amp;RPage &amp;P of &amp;N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H180"/>
  <sheetViews>
    <sheetView zoomScale="70" zoomScaleNormal="70" workbookViewId="0">
      <pane ySplit="1" topLeftCell="A122" activePane="bottomLeft" state="frozen"/>
      <selection pane="bottomLeft" activeCell="C1" sqref="C1:Q1048576"/>
    </sheetView>
  </sheetViews>
  <sheetFormatPr defaultColWidth="8.77734375" defaultRowHeight="14.4" x14ac:dyDescent="0.3"/>
  <cols>
    <col min="1" max="1" width="3.77734375" style="6" bestFit="1" customWidth="1"/>
    <col min="2" max="2" width="55" customWidth="1"/>
    <col min="3" max="3" width="27.6640625" customWidth="1"/>
    <col min="4" max="7" width="9.109375" customWidth="1"/>
    <col min="8" max="9" width="10.44140625" customWidth="1"/>
    <col min="10" max="10" width="10.109375" customWidth="1"/>
    <col min="11" max="11" width="9" customWidth="1"/>
    <col min="12" max="12" width="10.77734375" customWidth="1"/>
    <col min="13" max="14" width="9.77734375" style="6" customWidth="1"/>
    <col min="15" max="15" width="8.33203125" style="6" customWidth="1"/>
    <col min="16" max="16" width="10.109375" style="6" customWidth="1"/>
    <col min="17" max="18" width="9.77734375" style="6" customWidth="1"/>
    <col min="19" max="34" width="9.109375" style="6"/>
  </cols>
  <sheetData>
    <row r="1" spans="1:34" ht="15" thickBot="1" x14ac:dyDescent="0.35">
      <c r="J1" s="124" t="s">
        <v>609</v>
      </c>
      <c r="K1" s="124"/>
      <c r="L1" s="124"/>
    </row>
    <row r="2" spans="1:34" ht="29.4" thickBot="1" x14ac:dyDescent="0.6">
      <c r="B2" s="716" t="s">
        <v>660</v>
      </c>
      <c r="C2" s="717"/>
      <c r="D2" s="717"/>
      <c r="E2" s="717"/>
      <c r="F2" s="717"/>
      <c r="G2" s="717"/>
      <c r="H2" s="717"/>
      <c r="I2" s="717"/>
      <c r="J2" s="717"/>
      <c r="K2" s="717"/>
      <c r="L2" s="718"/>
    </row>
    <row r="4" spans="1:34" ht="23.4" x14ac:dyDescent="0.45">
      <c r="B4" s="30" t="s">
        <v>219</v>
      </c>
      <c r="C4" s="30"/>
      <c r="D4" s="5"/>
      <c r="E4" s="5"/>
      <c r="F4" s="5"/>
      <c r="G4" s="5"/>
      <c r="H4" s="5"/>
      <c r="I4" s="5"/>
      <c r="J4" s="5"/>
      <c r="K4" s="5"/>
      <c r="L4" s="5"/>
      <c r="M4" s="5"/>
      <c r="N4" s="5"/>
      <c r="O4" s="5"/>
      <c r="P4" s="5"/>
      <c r="Q4" s="5"/>
      <c r="R4" s="5"/>
      <c r="S4" s="5"/>
      <c r="T4" s="5"/>
      <c r="U4" s="5"/>
    </row>
    <row r="5" spans="1:34" ht="15.6" x14ac:dyDescent="0.3">
      <c r="B5" s="244"/>
      <c r="C5" s="244"/>
      <c r="D5" s="244">
        <v>2000</v>
      </c>
      <c r="E5" s="244">
        <v>2001</v>
      </c>
      <c r="F5" s="244">
        <v>2002</v>
      </c>
      <c r="G5" s="244">
        <v>2003</v>
      </c>
      <c r="H5" s="244">
        <v>2004</v>
      </c>
      <c r="I5" s="244">
        <v>2005</v>
      </c>
      <c r="J5" s="244">
        <v>2006</v>
      </c>
      <c r="K5" s="244">
        <v>2007</v>
      </c>
      <c r="L5" s="244">
        <v>2008</v>
      </c>
      <c r="M5" s="244">
        <v>2009</v>
      </c>
      <c r="N5" s="244">
        <v>2010</v>
      </c>
      <c r="O5" s="244">
        <v>2011</v>
      </c>
      <c r="P5" s="244">
        <v>2012</v>
      </c>
      <c r="Q5" s="244">
        <v>2013</v>
      </c>
      <c r="R5" s="244">
        <v>2014</v>
      </c>
      <c r="S5" s="244">
        <v>2015</v>
      </c>
      <c r="T5" s="244">
        <v>2016</v>
      </c>
      <c r="U5" s="244">
        <v>2017</v>
      </c>
    </row>
    <row r="6" spans="1:34" ht="15.6" x14ac:dyDescent="0.3">
      <c r="B6" s="245" t="s">
        <v>10</v>
      </c>
      <c r="C6" s="245"/>
      <c r="D6" s="258"/>
      <c r="E6" s="258"/>
      <c r="F6" s="258"/>
      <c r="G6" s="258"/>
      <c r="H6" s="258"/>
      <c r="I6" s="258"/>
      <c r="J6" s="258"/>
      <c r="K6" s="258"/>
      <c r="L6" s="258"/>
      <c r="M6" s="258"/>
      <c r="N6" s="258"/>
      <c r="O6" s="258"/>
      <c r="P6" s="258"/>
      <c r="Q6" s="258"/>
      <c r="R6" s="258"/>
      <c r="S6" s="258"/>
      <c r="T6" s="258"/>
      <c r="U6" s="258"/>
    </row>
    <row r="7" spans="1:34" ht="15.6" x14ac:dyDescent="0.3">
      <c r="A7" s="6">
        <v>1</v>
      </c>
      <c r="B7" s="353" t="s">
        <v>246</v>
      </c>
      <c r="C7" s="319" t="s">
        <v>233</v>
      </c>
      <c r="D7" s="264"/>
      <c r="E7" s="265"/>
      <c r="F7" s="243"/>
      <c r="G7" s="243"/>
      <c r="H7" s="243"/>
      <c r="I7" s="243"/>
      <c r="J7" s="243"/>
      <c r="K7" s="243">
        <v>3.3999999999999998E-3</v>
      </c>
      <c r="L7" s="243">
        <v>4.1000000000000003E-3</v>
      </c>
      <c r="M7" s="243">
        <v>6.7000000000000002E-3</v>
      </c>
      <c r="N7" s="243">
        <v>7.0000000000000001E-3</v>
      </c>
      <c r="O7" s="243">
        <v>7.4999999999999997E-3</v>
      </c>
      <c r="P7" s="243">
        <v>1.5800000000000002E-2</v>
      </c>
      <c r="Q7" s="243">
        <v>1.55E-2</v>
      </c>
      <c r="R7" s="243">
        <v>1.6E-2</v>
      </c>
      <c r="S7" s="243">
        <v>1.8599999999999998E-2</v>
      </c>
      <c r="T7" s="243">
        <v>8.9999999999999993E-3</v>
      </c>
      <c r="U7" s="264">
        <v>1.83E-2</v>
      </c>
    </row>
    <row r="8" spans="1:34" s="46" customFormat="1" ht="15.6" x14ac:dyDescent="0.3">
      <c r="A8" s="6">
        <v>2</v>
      </c>
      <c r="B8" s="354" t="s">
        <v>246</v>
      </c>
      <c r="C8" s="321" t="s">
        <v>234</v>
      </c>
      <c r="D8" s="348"/>
      <c r="E8" s="355"/>
      <c r="F8" s="348"/>
      <c r="G8" s="348"/>
      <c r="H8" s="348"/>
      <c r="I8" s="348"/>
      <c r="J8" s="348"/>
      <c r="K8" s="348">
        <v>5.5999999999999999E-3</v>
      </c>
      <c r="L8" s="348">
        <v>8.3999999999999995E-3</v>
      </c>
      <c r="M8" s="348">
        <v>1.1900000000000001E-2</v>
      </c>
      <c r="N8" s="348">
        <v>1.4500000000000001E-2</v>
      </c>
      <c r="O8" s="348">
        <v>1.41E-2</v>
      </c>
      <c r="P8" s="348">
        <v>1.3899999999999999E-2</v>
      </c>
      <c r="Q8" s="348">
        <v>1.43E-2</v>
      </c>
      <c r="R8" s="348">
        <v>1.67E-2</v>
      </c>
      <c r="S8" s="348">
        <v>1.7500000000000002E-2</v>
      </c>
      <c r="T8" s="348">
        <v>1.6E-2</v>
      </c>
      <c r="U8" s="348">
        <v>1.6799999999999999E-2</v>
      </c>
      <c r="V8" s="6"/>
      <c r="W8" s="6"/>
      <c r="X8" s="6"/>
      <c r="Y8" s="6"/>
      <c r="Z8" s="6"/>
      <c r="AA8" s="6"/>
      <c r="AB8" s="6"/>
      <c r="AC8" s="6"/>
      <c r="AD8" s="6"/>
      <c r="AE8" s="6"/>
      <c r="AF8" s="6"/>
      <c r="AG8" s="6"/>
      <c r="AH8" s="6"/>
    </row>
    <row r="9" spans="1:34" ht="15.6" x14ac:dyDescent="0.3">
      <c r="A9" s="6">
        <v>3</v>
      </c>
      <c r="B9" s="353" t="s">
        <v>246</v>
      </c>
      <c r="C9" s="319" t="s">
        <v>168</v>
      </c>
      <c r="D9" s="264"/>
      <c r="E9" s="265"/>
      <c r="F9" s="243"/>
      <c r="G9" s="243"/>
      <c r="H9" s="243"/>
      <c r="I9" s="243"/>
      <c r="J9" s="243"/>
      <c r="K9" s="243">
        <v>8.3000000000000001E-3</v>
      </c>
      <c r="L9" s="243">
        <v>1.1900000000000001E-2</v>
      </c>
      <c r="M9" s="243">
        <v>1.9E-2</v>
      </c>
      <c r="N9" s="243">
        <v>2.1499999999999998E-2</v>
      </c>
      <c r="O9" s="243">
        <v>2.5399999999999999E-2</v>
      </c>
      <c r="P9" s="243">
        <v>2.3400000000000001E-2</v>
      </c>
      <c r="Q9" s="243">
        <v>3.2500000000000001E-2</v>
      </c>
      <c r="R9" s="243">
        <v>3.1300000000000001E-2</v>
      </c>
      <c r="S9" s="243">
        <v>2.9899999999999999E-2</v>
      </c>
      <c r="T9" s="243">
        <v>2.7E-2</v>
      </c>
      <c r="U9" s="243">
        <v>3.0099999999999998E-2</v>
      </c>
    </row>
    <row r="10" spans="1:34" s="46" customFormat="1" ht="15.6" x14ac:dyDescent="0.3">
      <c r="A10" s="6">
        <v>4</v>
      </c>
      <c r="B10" s="354" t="s">
        <v>246</v>
      </c>
      <c r="C10" s="321" t="s">
        <v>169</v>
      </c>
      <c r="D10" s="348"/>
      <c r="E10" s="355"/>
      <c r="F10" s="348"/>
      <c r="G10" s="348"/>
      <c r="H10" s="348"/>
      <c r="I10" s="348"/>
      <c r="J10" s="348"/>
      <c r="K10" s="348">
        <v>4.1000000000000003E-3</v>
      </c>
      <c r="L10" s="348">
        <v>6.4999999999999997E-3</v>
      </c>
      <c r="M10" s="348">
        <v>9.4000000000000004E-3</v>
      </c>
      <c r="N10" s="348">
        <v>1.06E-2</v>
      </c>
      <c r="O10" s="348">
        <v>1.3100000000000001E-2</v>
      </c>
      <c r="P10" s="348">
        <v>1.2800000000000001E-2</v>
      </c>
      <c r="Q10" s="348">
        <v>1.5100000000000001E-2</v>
      </c>
      <c r="R10" s="348">
        <v>1.6899999999999998E-2</v>
      </c>
      <c r="S10" s="348">
        <v>1.4999999999999999E-2</v>
      </c>
      <c r="T10" s="348">
        <v>1.4999999999999999E-2</v>
      </c>
      <c r="U10" s="348">
        <v>1.5599999999999999E-2</v>
      </c>
      <c r="V10" s="6"/>
      <c r="W10" s="6"/>
      <c r="X10" s="6"/>
      <c r="Y10" s="6"/>
      <c r="Z10" s="6"/>
      <c r="AA10" s="6"/>
      <c r="AB10" s="6"/>
      <c r="AC10" s="6"/>
      <c r="AD10" s="6"/>
      <c r="AE10" s="6"/>
      <c r="AF10" s="6"/>
      <c r="AG10" s="6"/>
      <c r="AH10" s="6"/>
    </row>
    <row r="11" spans="1:34" ht="15.6" x14ac:dyDescent="0.3">
      <c r="A11" s="6">
        <v>5</v>
      </c>
      <c r="B11" s="353" t="s">
        <v>246</v>
      </c>
      <c r="C11" s="319" t="s">
        <v>170</v>
      </c>
      <c r="D11" s="264"/>
      <c r="E11" s="265"/>
      <c r="F11" s="243"/>
      <c r="G11" s="243"/>
      <c r="H11" s="243"/>
      <c r="I11" s="243"/>
      <c r="J11" s="243"/>
      <c r="K11" s="243">
        <v>0</v>
      </c>
      <c r="L11" s="243">
        <v>0</v>
      </c>
      <c r="M11" s="243"/>
      <c r="N11" s="243"/>
      <c r="O11" s="243"/>
      <c r="P11" s="243"/>
      <c r="Q11" s="243"/>
      <c r="R11" s="243"/>
      <c r="S11" s="243"/>
      <c r="T11" s="243"/>
      <c r="U11"/>
    </row>
    <row r="12" spans="1:34" s="46" customFormat="1" ht="15.6" x14ac:dyDescent="0.3">
      <c r="A12" s="6">
        <v>6</v>
      </c>
      <c r="B12" s="354" t="s">
        <v>246</v>
      </c>
      <c r="C12" s="321" t="s">
        <v>171</v>
      </c>
      <c r="D12" s="348"/>
      <c r="E12" s="355"/>
      <c r="F12" s="348"/>
      <c r="G12" s="348"/>
      <c r="H12" s="348"/>
      <c r="I12" s="348"/>
      <c r="J12" s="348"/>
      <c r="K12" s="348">
        <v>2.3E-3</v>
      </c>
      <c r="L12" s="348">
        <v>4.5999999999999999E-3</v>
      </c>
      <c r="M12" s="348">
        <v>0.01</v>
      </c>
      <c r="N12" s="348">
        <v>1.04E-2</v>
      </c>
      <c r="O12" s="348">
        <v>1.0200000000000001E-2</v>
      </c>
      <c r="P12" s="348">
        <v>1.5599999999999999E-2</v>
      </c>
      <c r="Q12" s="348">
        <v>2.5100000000000001E-2</v>
      </c>
      <c r="R12" s="348">
        <v>3.2099999999999997E-2</v>
      </c>
      <c r="S12" s="348">
        <v>2.4400000000000002E-2</v>
      </c>
      <c r="T12" s="348">
        <v>2.1000000000000001E-2</v>
      </c>
      <c r="U12" s="348">
        <v>2.5899999999999999E-2</v>
      </c>
      <c r="V12" s="6"/>
      <c r="W12" s="6"/>
      <c r="X12" s="6"/>
      <c r="Y12" s="6"/>
      <c r="Z12" s="6"/>
      <c r="AA12" s="6"/>
      <c r="AB12" s="6"/>
      <c r="AC12" s="6"/>
      <c r="AD12" s="6"/>
      <c r="AE12" s="6"/>
      <c r="AF12" s="6"/>
      <c r="AG12" s="6"/>
      <c r="AH12" s="6"/>
    </row>
    <row r="13" spans="1:34" ht="15.6" x14ac:dyDescent="0.3">
      <c r="A13" s="6">
        <v>7</v>
      </c>
      <c r="B13" s="353" t="s">
        <v>246</v>
      </c>
      <c r="C13" s="319" t="s">
        <v>172</v>
      </c>
      <c r="D13" s="264"/>
      <c r="E13" s="265"/>
      <c r="F13" s="243"/>
      <c r="G13" s="243"/>
      <c r="H13" s="243"/>
      <c r="I13" s="243"/>
      <c r="J13" s="243"/>
      <c r="K13" s="243">
        <v>4.7999999999999996E-3</v>
      </c>
      <c r="L13" s="243">
        <v>5.4000000000000003E-3</v>
      </c>
      <c r="M13" s="243">
        <v>9.5999999999999992E-3</v>
      </c>
      <c r="N13" s="243">
        <v>1.3100000000000001E-2</v>
      </c>
      <c r="O13" s="243">
        <v>1.6799999999999999E-2</v>
      </c>
      <c r="P13" s="243">
        <v>2.0199999999999999E-2</v>
      </c>
      <c r="Q13" s="243">
        <v>2.6800000000000001E-2</v>
      </c>
      <c r="R13" s="243">
        <v>2.6599999999999999E-2</v>
      </c>
      <c r="S13" s="243">
        <v>2.3900000000000001E-2</v>
      </c>
      <c r="T13" s="243">
        <v>2.1000000000000001E-2</v>
      </c>
      <c r="U13" s="348">
        <v>1.9599999999999999E-2</v>
      </c>
    </row>
    <row r="14" spans="1:34" s="46" customFormat="1" ht="15.6" x14ac:dyDescent="0.3">
      <c r="A14" s="6">
        <v>8</v>
      </c>
      <c r="B14" s="354" t="s">
        <v>246</v>
      </c>
      <c r="C14" s="321" t="s">
        <v>235</v>
      </c>
      <c r="D14" s="348"/>
      <c r="E14" s="355"/>
      <c r="F14" s="348"/>
      <c r="G14" s="348"/>
      <c r="H14" s="348"/>
      <c r="I14" s="348"/>
      <c r="J14" s="348"/>
      <c r="K14" s="348">
        <v>3.3E-3</v>
      </c>
      <c r="L14" s="348">
        <v>1.4E-3</v>
      </c>
      <c r="M14" s="348">
        <v>1.8E-3</v>
      </c>
      <c r="N14" s="348">
        <v>3.2000000000000002E-3</v>
      </c>
      <c r="O14" s="348">
        <v>1.09E-2</v>
      </c>
      <c r="P14" s="348">
        <v>1.54E-2</v>
      </c>
      <c r="Q14" s="348">
        <v>1.6299999999999999E-2</v>
      </c>
      <c r="R14" s="348">
        <v>2.0500000000000001E-2</v>
      </c>
      <c r="S14" s="348">
        <v>1.9800000000000002E-2</v>
      </c>
      <c r="T14" s="348">
        <v>1.6E-2</v>
      </c>
      <c r="U14" s="348">
        <v>1.6500000000000001E-2</v>
      </c>
      <c r="V14" s="6"/>
      <c r="W14" s="6"/>
      <c r="X14" s="6"/>
      <c r="Y14" s="6"/>
      <c r="Z14" s="6"/>
      <c r="AA14" s="6"/>
      <c r="AB14" s="6"/>
      <c r="AC14" s="6"/>
      <c r="AD14" s="6"/>
      <c r="AE14" s="6"/>
      <c r="AF14" s="6"/>
      <c r="AG14" s="6"/>
      <c r="AH14" s="6"/>
    </row>
    <row r="15" spans="1:34" s="46" customFormat="1" ht="15.6" x14ac:dyDescent="0.3">
      <c r="A15" s="6">
        <v>9</v>
      </c>
      <c r="B15" s="353" t="s">
        <v>246</v>
      </c>
      <c r="C15" s="326" t="s">
        <v>349</v>
      </c>
      <c r="D15" s="264"/>
      <c r="E15" s="265"/>
      <c r="F15" s="264"/>
      <c r="G15" s="264"/>
      <c r="H15" s="264"/>
      <c r="I15" s="264"/>
      <c r="J15" s="264"/>
      <c r="K15" s="290">
        <v>8.3000000000000001E-3</v>
      </c>
      <c r="L15" s="290">
        <v>1.01E-2</v>
      </c>
      <c r="M15" s="290">
        <v>1.3100000000000001E-2</v>
      </c>
      <c r="N15" s="290">
        <v>1.5299999999999999E-2</v>
      </c>
      <c r="O15" s="290">
        <v>2.5999999999999999E-2</v>
      </c>
      <c r="P15" s="264">
        <v>2.1999999999999999E-2</v>
      </c>
      <c r="Q15" s="264">
        <v>0.02</v>
      </c>
      <c r="R15" s="264">
        <v>2.4500000000000001E-2</v>
      </c>
      <c r="S15" s="264">
        <v>2.81E-2</v>
      </c>
      <c r="T15" s="264">
        <v>2.4E-2</v>
      </c>
      <c r="U15" s="348">
        <v>2.29E-2</v>
      </c>
      <c r="V15" s="6"/>
      <c r="W15" s="6"/>
      <c r="X15" s="6"/>
      <c r="Y15" s="6"/>
      <c r="Z15" s="6"/>
      <c r="AA15" s="6"/>
      <c r="AB15" s="6"/>
      <c r="AC15" s="6"/>
      <c r="AD15" s="6"/>
      <c r="AE15" s="6"/>
      <c r="AF15" s="6"/>
      <c r="AG15" s="6"/>
      <c r="AH15" s="6"/>
    </row>
    <row r="16" spans="1:34" ht="15.6" x14ac:dyDescent="0.3">
      <c r="A16" s="6">
        <v>10</v>
      </c>
      <c r="B16" s="354" t="s">
        <v>246</v>
      </c>
      <c r="C16" s="321" t="s">
        <v>175</v>
      </c>
      <c r="D16" s="348"/>
      <c r="E16" s="355"/>
      <c r="F16" s="348"/>
      <c r="G16" s="348"/>
      <c r="H16" s="348"/>
      <c r="I16" s="348"/>
      <c r="J16" s="348"/>
      <c r="K16" s="348">
        <v>4.3E-3</v>
      </c>
      <c r="L16" s="348">
        <v>9.9000000000000008E-3</v>
      </c>
      <c r="M16" s="348">
        <v>1.37E-2</v>
      </c>
      <c r="N16" s="348">
        <v>1.7999999999999999E-2</v>
      </c>
      <c r="O16" s="348">
        <v>1.5699999999999999E-2</v>
      </c>
      <c r="P16" s="348">
        <v>1.95E-2</v>
      </c>
      <c r="Q16" s="348">
        <v>2.9499999999999998E-2</v>
      </c>
      <c r="R16" s="348">
        <v>2.7199999999999998E-2</v>
      </c>
      <c r="S16" s="348">
        <v>3.15E-2</v>
      </c>
      <c r="T16" s="348">
        <v>2.3E-2</v>
      </c>
      <c r="U16" s="348">
        <v>2.3900000000000001E-2</v>
      </c>
    </row>
    <row r="17" spans="1:34" s="46" customFormat="1" ht="15.6" x14ac:dyDescent="0.3">
      <c r="A17" s="6">
        <v>11</v>
      </c>
      <c r="B17" s="353" t="s">
        <v>246</v>
      </c>
      <c r="C17" s="319" t="s">
        <v>176</v>
      </c>
      <c r="D17" s="264"/>
      <c r="E17" s="265"/>
      <c r="F17" s="243"/>
      <c r="G17" s="243"/>
      <c r="H17" s="243"/>
      <c r="I17" s="243"/>
      <c r="J17" s="243"/>
      <c r="K17" s="243">
        <v>6.4000000000000003E-3</v>
      </c>
      <c r="L17" s="243">
        <v>6.8999999999999999E-3</v>
      </c>
      <c r="M17" s="243">
        <v>7.9000000000000008E-3</v>
      </c>
      <c r="N17" s="243">
        <v>8.8999999999999999E-3</v>
      </c>
      <c r="O17" s="264">
        <v>1.49E-2</v>
      </c>
      <c r="P17" s="264">
        <v>1.2699999999999999E-2</v>
      </c>
      <c r="Q17" s="264">
        <v>1.32E-2</v>
      </c>
      <c r="R17" s="264">
        <v>1.49E-2</v>
      </c>
      <c r="S17" s="264">
        <v>1.9599999999999999E-2</v>
      </c>
      <c r="T17" s="264">
        <v>1.4E-2</v>
      </c>
      <c r="U17" s="348">
        <v>1.49E-2</v>
      </c>
      <c r="V17" s="6"/>
      <c r="W17" s="6"/>
      <c r="X17" s="6"/>
      <c r="Y17" s="6"/>
      <c r="Z17" s="6"/>
      <c r="AA17" s="6"/>
      <c r="AB17" s="6"/>
      <c r="AC17" s="6"/>
      <c r="AD17" s="6"/>
      <c r="AE17" s="6"/>
      <c r="AF17" s="6"/>
      <c r="AG17" s="6"/>
      <c r="AH17" s="6"/>
    </row>
    <row r="18" spans="1:34" ht="15.6" x14ac:dyDescent="0.3">
      <c r="A18" s="6">
        <v>12</v>
      </c>
      <c r="B18" s="354" t="s">
        <v>246</v>
      </c>
      <c r="C18" s="321" t="s">
        <v>178</v>
      </c>
      <c r="D18" s="348"/>
      <c r="E18" s="355"/>
      <c r="F18" s="348"/>
      <c r="G18" s="348"/>
      <c r="H18" s="348"/>
      <c r="I18" s="348"/>
      <c r="J18" s="348"/>
      <c r="K18" s="348">
        <v>5.7000000000000002E-3</v>
      </c>
      <c r="L18" s="348">
        <v>7.1999999999999998E-3</v>
      </c>
      <c r="M18" s="348">
        <v>1.0500000000000001E-2</v>
      </c>
      <c r="N18" s="348">
        <v>1.2E-2</v>
      </c>
      <c r="O18" s="348">
        <v>1.4800000000000001E-2</v>
      </c>
      <c r="P18" s="348">
        <v>1.9599999999999999E-2</v>
      </c>
      <c r="Q18" s="348">
        <v>2.2100000000000002E-2</v>
      </c>
      <c r="R18" s="348">
        <v>2.2700000000000001E-2</v>
      </c>
      <c r="S18" s="348">
        <v>1.84E-2</v>
      </c>
      <c r="T18" s="348">
        <v>1.7000000000000001E-2</v>
      </c>
      <c r="U18" s="348">
        <v>1.7000000000000001E-2</v>
      </c>
    </row>
    <row r="19" spans="1:34" s="46" customFormat="1" ht="15.6" x14ac:dyDescent="0.3">
      <c r="A19" s="6">
        <v>13</v>
      </c>
      <c r="B19" s="353" t="s">
        <v>246</v>
      </c>
      <c r="C19" s="319" t="s">
        <v>237</v>
      </c>
      <c r="D19" s="264"/>
      <c r="E19" s="265"/>
      <c r="F19" s="243"/>
      <c r="G19" s="243"/>
      <c r="H19" s="243"/>
      <c r="I19" s="243"/>
      <c r="J19" s="243"/>
      <c r="K19" s="243">
        <v>3.8E-3</v>
      </c>
      <c r="L19" s="243">
        <v>5.1999999999999998E-3</v>
      </c>
      <c r="M19" s="243">
        <v>6.1999999999999998E-3</v>
      </c>
      <c r="N19" s="243">
        <v>8.6999999999999994E-3</v>
      </c>
      <c r="O19" s="264">
        <v>8.8999999999999999E-3</v>
      </c>
      <c r="P19" s="264">
        <v>1.06E-2</v>
      </c>
      <c r="Q19" s="264">
        <v>1.29E-2</v>
      </c>
      <c r="R19" s="264">
        <v>1.7500000000000002E-2</v>
      </c>
      <c r="S19" s="264">
        <v>2.01E-2</v>
      </c>
      <c r="T19" s="264">
        <v>1.9E-2</v>
      </c>
      <c r="U19" s="348">
        <v>1.7500000000000002E-2</v>
      </c>
      <c r="V19" s="6"/>
      <c r="W19" s="6"/>
      <c r="X19" s="6"/>
      <c r="Y19" s="6"/>
      <c r="Z19" s="6"/>
      <c r="AA19" s="6"/>
      <c r="AB19" s="6"/>
      <c r="AC19" s="6"/>
      <c r="AD19" s="6"/>
      <c r="AE19" s="6"/>
      <c r="AF19" s="6"/>
      <c r="AG19" s="6"/>
      <c r="AH19" s="6"/>
    </row>
    <row r="20" spans="1:34" ht="15.6" x14ac:dyDescent="0.3">
      <c r="A20" s="6">
        <v>14</v>
      </c>
      <c r="B20" s="353" t="s">
        <v>246</v>
      </c>
      <c r="C20" s="319" t="s">
        <v>238</v>
      </c>
      <c r="D20" s="264"/>
      <c r="E20" s="265"/>
      <c r="F20" s="243"/>
      <c r="G20" s="243"/>
      <c r="H20" s="243"/>
      <c r="I20" s="243"/>
      <c r="J20" s="243"/>
      <c r="K20" s="243">
        <v>4.7999999999999996E-3</v>
      </c>
      <c r="L20" s="243">
        <v>3.5000000000000001E-3</v>
      </c>
      <c r="M20" s="243">
        <v>1.9E-3</v>
      </c>
      <c r="N20" s="243">
        <v>2E-3</v>
      </c>
      <c r="O20" s="264">
        <v>7.4000000000000003E-3</v>
      </c>
      <c r="P20" s="264">
        <v>7.6E-3</v>
      </c>
      <c r="Q20" s="264">
        <v>1.1299999999999999E-2</v>
      </c>
      <c r="R20" s="264">
        <v>2.1100000000000001E-2</v>
      </c>
      <c r="S20" s="264">
        <v>2.01E-2</v>
      </c>
      <c r="T20" s="264">
        <v>1.7999999999999999E-2</v>
      </c>
      <c r="U20" s="348">
        <v>2.1000000000000001E-2</v>
      </c>
    </row>
    <row r="21" spans="1:34" s="46" customFormat="1" ht="15.6" x14ac:dyDescent="0.3">
      <c r="A21" s="6">
        <v>15</v>
      </c>
      <c r="B21" s="354" t="s">
        <v>246</v>
      </c>
      <c r="C21" s="321" t="s">
        <v>239</v>
      </c>
      <c r="D21" s="348"/>
      <c r="E21" s="355"/>
      <c r="F21" s="348"/>
      <c r="G21" s="348"/>
      <c r="H21" s="348"/>
      <c r="I21" s="348"/>
      <c r="J21" s="348"/>
      <c r="K21" s="348">
        <v>1.5E-3</v>
      </c>
      <c r="L21" s="348">
        <v>8.6999999999999994E-3</v>
      </c>
      <c r="M21" s="348">
        <v>1.32E-2</v>
      </c>
      <c r="N21" s="348">
        <v>1.8499999999999999E-2</v>
      </c>
      <c r="O21" s="348">
        <v>1.5900000000000001E-2</v>
      </c>
      <c r="P21" s="348">
        <v>1.24E-2</v>
      </c>
      <c r="Q21" s="348">
        <v>2.0299999999999999E-2</v>
      </c>
      <c r="R21" s="348">
        <v>2.5399999999999999E-2</v>
      </c>
      <c r="S21" s="348">
        <v>2.6499999999999999E-2</v>
      </c>
      <c r="T21" s="348">
        <v>2.5999999999999999E-2</v>
      </c>
      <c r="U21" s="348">
        <v>2.1999999999999999E-2</v>
      </c>
      <c r="V21" s="6"/>
      <c r="W21" s="6"/>
      <c r="X21" s="6"/>
      <c r="Y21" s="6"/>
      <c r="Z21" s="6"/>
      <c r="AA21" s="6"/>
      <c r="AB21" s="6"/>
      <c r="AC21" s="6"/>
      <c r="AD21" s="6"/>
      <c r="AE21" s="6"/>
      <c r="AF21" s="6"/>
      <c r="AG21" s="6"/>
      <c r="AH21" s="6"/>
    </row>
    <row r="22" spans="1:34" ht="15.6" x14ac:dyDescent="0.3">
      <c r="A22" s="6">
        <v>16</v>
      </c>
      <c r="B22" s="353" t="s">
        <v>246</v>
      </c>
      <c r="C22" s="319" t="s">
        <v>240</v>
      </c>
      <c r="D22" s="264"/>
      <c r="E22" s="265"/>
      <c r="F22" s="243"/>
      <c r="G22" s="243"/>
      <c r="H22" s="243"/>
      <c r="I22" s="243"/>
      <c r="J22" s="243"/>
      <c r="K22" s="243">
        <v>6.0000000000000001E-3</v>
      </c>
      <c r="L22" s="243">
        <v>7.7000000000000002E-3</v>
      </c>
      <c r="M22" s="243">
        <v>1.11E-2</v>
      </c>
      <c r="N22" s="243">
        <v>1.2500000000000001E-2</v>
      </c>
      <c r="O22" s="264">
        <v>1.37E-2</v>
      </c>
      <c r="P22" s="264">
        <v>1.8599999999999998E-2</v>
      </c>
      <c r="Q22" s="264">
        <v>1.95E-2</v>
      </c>
      <c r="R22" s="264">
        <v>1.8200000000000001E-2</v>
      </c>
      <c r="S22" s="264">
        <v>1.9699999999999999E-2</v>
      </c>
      <c r="T22" s="264">
        <v>1.7999999999999999E-2</v>
      </c>
      <c r="U22" s="348">
        <v>1.78E-2</v>
      </c>
    </row>
    <row r="23" spans="1:34" s="46" customFormat="1" ht="15.6" x14ac:dyDescent="0.3">
      <c r="A23" s="6">
        <v>17</v>
      </c>
      <c r="B23" s="354" t="s">
        <v>246</v>
      </c>
      <c r="C23" s="321" t="s">
        <v>241</v>
      </c>
      <c r="D23" s="348"/>
      <c r="E23" s="355"/>
      <c r="F23" s="348"/>
      <c r="G23" s="348"/>
      <c r="H23" s="348"/>
      <c r="I23" s="348"/>
      <c r="J23" s="348"/>
      <c r="K23" s="348">
        <v>1.04E-2</v>
      </c>
      <c r="L23" s="348">
        <v>1.26E-2</v>
      </c>
      <c r="M23" s="348">
        <v>1.12E-2</v>
      </c>
      <c r="N23" s="348">
        <v>1.2800000000000001E-2</v>
      </c>
      <c r="O23" s="348">
        <v>1.17E-2</v>
      </c>
      <c r="P23" s="348">
        <v>2.1000000000000001E-2</v>
      </c>
      <c r="Q23" s="348">
        <v>9.7000000000000003E-3</v>
      </c>
      <c r="R23" s="348">
        <v>1.32E-2</v>
      </c>
      <c r="S23" s="348">
        <v>1.7100000000000001E-2</v>
      </c>
      <c r="T23" s="348">
        <v>1.2E-2</v>
      </c>
      <c r="U23" s="348">
        <v>2.1999999999999999E-2</v>
      </c>
      <c r="V23" s="6"/>
      <c r="W23" s="6"/>
      <c r="X23" s="6"/>
      <c r="Y23" s="6"/>
      <c r="Z23" s="6"/>
      <c r="AA23" s="6"/>
      <c r="AB23" s="6"/>
      <c r="AC23" s="6"/>
      <c r="AD23" s="6"/>
      <c r="AE23" s="6"/>
      <c r="AF23" s="6"/>
      <c r="AG23" s="6"/>
      <c r="AH23" s="6"/>
    </row>
    <row r="24" spans="1:34" ht="15.6" x14ac:dyDescent="0.3">
      <c r="A24" s="6">
        <v>18</v>
      </c>
      <c r="B24" s="353" t="s">
        <v>246</v>
      </c>
      <c r="C24" s="319" t="s">
        <v>183</v>
      </c>
      <c r="D24" s="264"/>
      <c r="E24" s="265"/>
      <c r="F24" s="243"/>
      <c r="G24" s="243"/>
      <c r="H24" s="243"/>
      <c r="I24" s="243"/>
      <c r="J24" s="243"/>
      <c r="K24" s="243">
        <v>9.1000000000000004E-3</v>
      </c>
      <c r="L24" s="243">
        <v>1.23E-2</v>
      </c>
      <c r="M24" s="243">
        <v>1.35E-2</v>
      </c>
      <c r="N24" s="243">
        <v>2.1299999999999999E-2</v>
      </c>
      <c r="O24" s="264">
        <v>2.8199999999999999E-2</v>
      </c>
      <c r="P24" s="264">
        <v>2.9100000000000001E-2</v>
      </c>
      <c r="Q24" s="264">
        <v>3.3599999999999998E-2</v>
      </c>
      <c r="R24" s="264">
        <v>3.0200000000000001E-2</v>
      </c>
      <c r="S24" s="264">
        <v>2.92E-2</v>
      </c>
      <c r="T24" s="264">
        <v>2.5999999999999999E-2</v>
      </c>
      <c r="U24" s="348">
        <v>3.0200000000000001E-2</v>
      </c>
    </row>
    <row r="25" spans="1:34" s="46" customFormat="1" ht="15.6" x14ac:dyDescent="0.3">
      <c r="A25" s="6">
        <v>19</v>
      </c>
      <c r="B25" s="354" t="s">
        <v>246</v>
      </c>
      <c r="C25" s="321" t="s">
        <v>184</v>
      </c>
      <c r="D25" s="348"/>
      <c r="E25" s="355"/>
      <c r="F25" s="348"/>
      <c r="G25" s="348"/>
      <c r="H25" s="348"/>
      <c r="I25" s="348"/>
      <c r="J25" s="348"/>
      <c r="K25" s="348">
        <v>5.1000000000000004E-3</v>
      </c>
      <c r="L25" s="348">
        <v>7.4000000000000003E-3</v>
      </c>
      <c r="M25" s="348">
        <v>1.0800000000000001E-2</v>
      </c>
      <c r="N25" s="348">
        <v>1.0800000000000001E-2</v>
      </c>
      <c r="O25" s="348">
        <v>1.3599999999999999E-2</v>
      </c>
      <c r="P25" s="348">
        <v>1.7100000000000001E-2</v>
      </c>
      <c r="Q25" s="348">
        <v>2.07E-2</v>
      </c>
      <c r="R25" s="348">
        <v>2.1600000000000001E-2</v>
      </c>
      <c r="S25" s="348">
        <v>2.5499999999999998E-2</v>
      </c>
      <c r="T25" s="348">
        <v>2.1999999999999999E-2</v>
      </c>
      <c r="U25" s="348">
        <v>2.2200000000000001E-2</v>
      </c>
      <c r="V25" s="6"/>
      <c r="W25" s="6"/>
      <c r="X25" s="6"/>
      <c r="Y25" s="6"/>
      <c r="Z25" s="6"/>
      <c r="AA25" s="6"/>
      <c r="AB25" s="6"/>
      <c r="AC25" s="6"/>
      <c r="AD25" s="6"/>
      <c r="AE25" s="6"/>
      <c r="AF25" s="6"/>
      <c r="AG25" s="6"/>
      <c r="AH25" s="6"/>
    </row>
    <row r="26" spans="1:34" ht="15.6" x14ac:dyDescent="0.3">
      <c r="A26" s="6">
        <v>20</v>
      </c>
      <c r="B26" s="353" t="s">
        <v>246</v>
      </c>
      <c r="C26" s="319" t="s">
        <v>185</v>
      </c>
      <c r="D26" s="264"/>
      <c r="E26" s="265"/>
      <c r="F26" s="243"/>
      <c r="G26" s="243"/>
      <c r="H26" s="243"/>
      <c r="I26" s="243"/>
      <c r="J26" s="243"/>
      <c r="K26" s="243">
        <v>5.7000000000000002E-3</v>
      </c>
      <c r="L26" s="243">
        <v>4.8999999999999998E-3</v>
      </c>
      <c r="M26" s="243">
        <v>1.23E-2</v>
      </c>
      <c r="N26" s="243">
        <v>1.0999999999999999E-2</v>
      </c>
      <c r="O26" s="264">
        <v>8.0000000000000004E-4</v>
      </c>
      <c r="P26" s="264">
        <v>1.7999999999999999E-2</v>
      </c>
      <c r="Q26" s="264">
        <v>6.1000000000000004E-3</v>
      </c>
      <c r="R26" s="264">
        <v>2.7699999999999999E-2</v>
      </c>
      <c r="S26" s="264">
        <v>0</v>
      </c>
      <c r="T26" s="264">
        <v>0</v>
      </c>
      <c r="U26"/>
    </row>
    <row r="27" spans="1:34" s="46" customFormat="1" ht="15.6" x14ac:dyDescent="0.3">
      <c r="A27" s="6">
        <v>21</v>
      </c>
      <c r="B27" s="354" t="s">
        <v>246</v>
      </c>
      <c r="C27" s="321" t="s">
        <v>242</v>
      </c>
      <c r="D27" s="348"/>
      <c r="E27" s="355"/>
      <c r="F27" s="348"/>
      <c r="G27" s="348"/>
      <c r="H27" s="348"/>
      <c r="I27" s="348"/>
      <c r="J27" s="348"/>
      <c r="K27" s="348">
        <v>6.1000000000000004E-3</v>
      </c>
      <c r="L27" s="348">
        <v>0.01</v>
      </c>
      <c r="M27" s="348">
        <v>1.2200000000000001E-2</v>
      </c>
      <c r="N27" s="348">
        <v>1.14E-2</v>
      </c>
      <c r="O27" s="348">
        <v>1.2500000000000001E-2</v>
      </c>
      <c r="P27" s="348">
        <v>1.7899999999999999E-2</v>
      </c>
      <c r="Q27" s="348">
        <v>2.5899999999999999E-2</v>
      </c>
      <c r="R27" s="348">
        <v>4.1999999999999997E-3</v>
      </c>
      <c r="S27" s="348">
        <v>2.8500000000000001E-2</v>
      </c>
      <c r="T27" s="264">
        <v>2.7E-2</v>
      </c>
      <c r="U27" s="348">
        <v>2.7699999999999999E-2</v>
      </c>
      <c r="V27" s="6"/>
      <c r="W27" s="6"/>
      <c r="X27" s="6"/>
      <c r="Y27" s="6"/>
      <c r="Z27" s="6"/>
      <c r="AA27" s="6"/>
      <c r="AB27" s="6"/>
      <c r="AC27" s="6"/>
      <c r="AD27" s="6"/>
      <c r="AE27" s="6"/>
      <c r="AF27" s="6"/>
      <c r="AG27" s="6"/>
      <c r="AH27" s="6"/>
    </row>
    <row r="28" spans="1:34" ht="15.6" x14ac:dyDescent="0.3">
      <c r="A28" s="6">
        <v>22</v>
      </c>
      <c r="B28" s="353" t="s">
        <v>246</v>
      </c>
      <c r="C28" s="319" t="s">
        <v>187</v>
      </c>
      <c r="D28" s="264"/>
      <c r="E28" s="265"/>
      <c r="F28" s="243"/>
      <c r="G28" s="243"/>
      <c r="H28" s="243"/>
      <c r="I28" s="243"/>
      <c r="J28" s="243"/>
      <c r="K28" s="243">
        <v>3.7000000000000002E-3</v>
      </c>
      <c r="L28" s="243">
        <v>4.4000000000000003E-3</v>
      </c>
      <c r="M28" s="243">
        <v>5.0000000000000001E-3</v>
      </c>
      <c r="N28" s="243">
        <v>4.1999999999999997E-3</v>
      </c>
      <c r="O28" s="264">
        <v>7.1999999999999998E-3</v>
      </c>
      <c r="P28" s="264">
        <v>2.7400000000000001E-2</v>
      </c>
      <c r="Q28" s="264">
        <v>7.1999999999999998E-3</v>
      </c>
      <c r="R28" s="264">
        <v>0.02</v>
      </c>
      <c r="S28" s="264">
        <v>7.7999999999999996E-3</v>
      </c>
      <c r="T28" s="348">
        <v>0.01</v>
      </c>
      <c r="U28" s="348">
        <v>1.24E-2</v>
      </c>
    </row>
    <row r="29" spans="1:34" s="46" customFormat="1" ht="15.6" x14ac:dyDescent="0.3">
      <c r="A29" s="6">
        <v>23</v>
      </c>
      <c r="B29" s="354" t="s">
        <v>246</v>
      </c>
      <c r="C29" s="321" t="s">
        <v>188</v>
      </c>
      <c r="D29" s="348"/>
      <c r="E29" s="355"/>
      <c r="F29" s="348"/>
      <c r="G29" s="348"/>
      <c r="H29" s="348"/>
      <c r="I29" s="348"/>
      <c r="J29" s="348"/>
      <c r="K29" s="348">
        <v>8.0999999999999996E-3</v>
      </c>
      <c r="L29" s="348">
        <v>9.4000000000000004E-3</v>
      </c>
      <c r="M29" s="348">
        <v>1.47E-2</v>
      </c>
      <c r="N29" s="348">
        <v>1.7299999999999999E-2</v>
      </c>
      <c r="O29" s="348">
        <v>1.7399999999999999E-2</v>
      </c>
      <c r="P29" s="348">
        <v>3.2099999999999997E-2</v>
      </c>
      <c r="Q29" s="348">
        <v>7.3000000000000001E-3</v>
      </c>
      <c r="R29" s="348">
        <v>1.18E-2</v>
      </c>
      <c r="S29" s="348">
        <v>1.89E-2</v>
      </c>
      <c r="T29" s="264">
        <v>2.1000000000000001E-2</v>
      </c>
      <c r="U29" s="348">
        <v>2.1399999999999999E-2</v>
      </c>
      <c r="V29" s="6"/>
      <c r="W29" s="6"/>
      <c r="X29" s="6"/>
      <c r="Y29" s="6"/>
      <c r="Z29" s="6"/>
      <c r="AA29" s="6"/>
      <c r="AB29" s="6"/>
      <c r="AC29" s="6"/>
      <c r="AD29" s="6"/>
      <c r="AE29" s="6"/>
      <c r="AF29" s="6"/>
      <c r="AG29" s="6"/>
      <c r="AH29" s="6"/>
    </row>
    <row r="30" spans="1:34" ht="15.6" x14ac:dyDescent="0.3">
      <c r="A30" s="6">
        <v>24</v>
      </c>
      <c r="B30" s="353" t="s">
        <v>246</v>
      </c>
      <c r="C30" s="319" t="s">
        <v>243</v>
      </c>
      <c r="D30" s="264"/>
      <c r="E30" s="265"/>
      <c r="F30" s="243"/>
      <c r="G30" s="243"/>
      <c r="H30" s="243"/>
      <c r="I30" s="243"/>
      <c r="J30" s="243"/>
      <c r="K30" s="243">
        <v>1.9E-3</v>
      </c>
      <c r="L30" s="243">
        <v>4.8999999999999998E-3</v>
      </c>
      <c r="M30" s="243">
        <v>8.8999999999999999E-3</v>
      </c>
      <c r="N30" s="243">
        <v>8.6E-3</v>
      </c>
      <c r="O30" s="264">
        <v>9.4999999999999998E-3</v>
      </c>
      <c r="P30" s="264">
        <v>1.4999999999999999E-2</v>
      </c>
      <c r="Q30" s="264">
        <v>6.7999999999999996E-3</v>
      </c>
      <c r="R30" s="264">
        <v>1.3899999999999999E-2</v>
      </c>
      <c r="S30" s="264">
        <v>1.5800000000000002E-2</v>
      </c>
      <c r="T30" s="348">
        <v>8.9999999999999993E-3</v>
      </c>
      <c r="U30" s="348">
        <v>1.8100000000000002E-2</v>
      </c>
    </row>
    <row r="31" spans="1:34" s="46" customFormat="1" ht="15.6" x14ac:dyDescent="0.3">
      <c r="A31" s="6">
        <v>25</v>
      </c>
      <c r="B31" s="354" t="s">
        <v>246</v>
      </c>
      <c r="C31" s="321" t="s">
        <v>244</v>
      </c>
      <c r="D31" s="348"/>
      <c r="E31" s="355"/>
      <c r="F31" s="348"/>
      <c r="G31" s="348"/>
      <c r="H31" s="348"/>
      <c r="I31" s="348"/>
      <c r="J31" s="348"/>
      <c r="K31" s="348">
        <v>3.7000000000000002E-3</v>
      </c>
      <c r="L31" s="348">
        <v>5.4999999999999997E-3</v>
      </c>
      <c r="M31" s="348">
        <v>7.0000000000000001E-3</v>
      </c>
      <c r="N31" s="348">
        <v>7.3000000000000001E-3</v>
      </c>
      <c r="O31" s="348">
        <v>7.1000000000000004E-3</v>
      </c>
      <c r="P31" s="348">
        <v>9.4999999999999998E-3</v>
      </c>
      <c r="Q31" s="348">
        <v>1.29E-2</v>
      </c>
      <c r="R31" s="348">
        <v>2.1100000000000001E-2</v>
      </c>
      <c r="S31" s="348">
        <v>1.7899999999999999E-2</v>
      </c>
      <c r="T31" s="264">
        <v>1.2E-2</v>
      </c>
      <c r="U31" s="348">
        <v>1.54E-2</v>
      </c>
      <c r="V31" s="6"/>
      <c r="W31" s="6"/>
      <c r="X31" s="6"/>
      <c r="Y31" s="6"/>
      <c r="Z31" s="6"/>
      <c r="AA31" s="6"/>
      <c r="AB31" s="6"/>
      <c r="AC31" s="6"/>
      <c r="AD31" s="6"/>
      <c r="AE31" s="6"/>
      <c r="AF31" s="6"/>
      <c r="AG31" s="6"/>
      <c r="AH31" s="6"/>
    </row>
    <row r="32" spans="1:34" ht="15.6" x14ac:dyDescent="0.3">
      <c r="A32" s="6">
        <v>26</v>
      </c>
      <c r="B32" s="353" t="s">
        <v>246</v>
      </c>
      <c r="C32" s="326" t="s">
        <v>346</v>
      </c>
      <c r="D32" s="264"/>
      <c r="E32" s="265"/>
      <c r="F32" s="264"/>
      <c r="G32" s="264"/>
      <c r="H32" s="264"/>
      <c r="I32" s="264"/>
      <c r="J32" s="264"/>
      <c r="K32" s="411"/>
      <c r="L32" s="411"/>
      <c r="M32" s="411"/>
      <c r="N32" s="411"/>
      <c r="O32" s="411"/>
      <c r="P32" s="264">
        <v>1.0999999999999999E-2</v>
      </c>
      <c r="Q32" s="264">
        <v>1.7999999999999999E-2</v>
      </c>
      <c r="R32" s="264">
        <v>1.8700000000000001E-2</v>
      </c>
      <c r="S32" s="264">
        <v>2.6599999999999999E-2</v>
      </c>
      <c r="T32" s="348">
        <v>2.4E-2</v>
      </c>
      <c r="U32" s="348">
        <v>2.2100000000000002E-2</v>
      </c>
    </row>
    <row r="33" spans="1:34" s="46" customFormat="1" ht="15.6" x14ac:dyDescent="0.3">
      <c r="A33" s="6">
        <v>27</v>
      </c>
      <c r="B33" s="356" t="s">
        <v>246</v>
      </c>
      <c r="C33" s="357" t="s">
        <v>191</v>
      </c>
      <c r="D33" s="358"/>
      <c r="E33" s="359"/>
      <c r="F33" s="358"/>
      <c r="G33" s="358"/>
      <c r="H33" s="358"/>
      <c r="I33" s="358"/>
      <c r="J33" s="358"/>
      <c r="K33" s="358">
        <v>8.9999999999999993E-3</v>
      </c>
      <c r="L33" s="358">
        <v>8.8999999999999999E-3</v>
      </c>
      <c r="M33" s="358">
        <v>1.4999999999999999E-2</v>
      </c>
      <c r="N33" s="358">
        <v>2.1999999999999999E-2</v>
      </c>
      <c r="O33" s="358"/>
      <c r="P33" s="358">
        <v>1.1900000000000001E-2</v>
      </c>
      <c r="Q33" s="358">
        <v>1.6400000000000001E-2</v>
      </c>
      <c r="R33" s="358">
        <v>2.58E-2</v>
      </c>
      <c r="S33" s="358">
        <v>1.6400000000000001E-2</v>
      </c>
      <c r="T33" s="264">
        <v>2.1999999999999999E-2</v>
      </c>
      <c r="U33" s="348">
        <v>1.9199999999999998E-2</v>
      </c>
      <c r="V33" s="6"/>
      <c r="W33" s="6"/>
      <c r="X33" s="6"/>
      <c r="Y33" s="6"/>
      <c r="Z33" s="6"/>
      <c r="AA33" s="6"/>
      <c r="AB33" s="6"/>
      <c r="AC33" s="6"/>
      <c r="AD33" s="6"/>
      <c r="AE33" s="6"/>
      <c r="AF33" s="6"/>
      <c r="AG33" s="6"/>
      <c r="AH33" s="6"/>
    </row>
    <row r="34" spans="1:34" s="6" customFormat="1" ht="15.6" x14ac:dyDescent="0.3">
      <c r="A34" s="6">
        <v>28</v>
      </c>
      <c r="B34" s="353" t="s">
        <v>246</v>
      </c>
      <c r="C34" s="326" t="s">
        <v>245</v>
      </c>
      <c r="D34" s="264"/>
      <c r="E34" s="265"/>
      <c r="F34" s="264"/>
      <c r="G34" s="264"/>
      <c r="H34" s="264"/>
      <c r="I34" s="264"/>
      <c r="J34" s="264"/>
      <c r="K34" s="264">
        <v>3.5000000000000001E-3</v>
      </c>
      <c r="L34" s="264">
        <v>8.8999999999999999E-3</v>
      </c>
      <c r="M34" s="264">
        <v>1.2E-2</v>
      </c>
      <c r="N34" s="264">
        <v>1.38E-2</v>
      </c>
      <c r="O34" s="264"/>
      <c r="P34" s="264">
        <v>1.9800000000000002E-2</v>
      </c>
      <c r="Q34" s="264">
        <v>2.41E-2</v>
      </c>
      <c r="R34" s="348">
        <v>2.0899999999999998E-2</v>
      </c>
      <c r="S34" s="348">
        <v>2.1299999999999999E-2</v>
      </c>
      <c r="T34" s="358">
        <v>1.7000000000000001E-2</v>
      </c>
      <c r="U34" s="348">
        <v>1.8800000000000001E-2</v>
      </c>
    </row>
    <row r="35" spans="1:34" ht="15.6" x14ac:dyDescent="0.3">
      <c r="B35" s="360" t="s">
        <v>247</v>
      </c>
      <c r="C35" s="311" t="s">
        <v>214</v>
      </c>
      <c r="D35" s="361"/>
      <c r="E35" s="362"/>
      <c r="F35" s="361"/>
      <c r="G35" s="361"/>
      <c r="H35" s="361"/>
      <c r="I35" s="361"/>
      <c r="J35" s="361"/>
      <c r="K35" s="361">
        <v>5.4000000000000003E-3</v>
      </c>
      <c r="L35" s="361">
        <v>8.0000000000000002E-3</v>
      </c>
      <c r="M35" s="361">
        <v>1.15E-2</v>
      </c>
      <c r="N35" s="361">
        <v>1.34E-2</v>
      </c>
      <c r="O35" s="361">
        <v>1.5100000000000001E-2</v>
      </c>
      <c r="P35" s="361">
        <v>1.89E-2</v>
      </c>
      <c r="Q35" s="361">
        <v>2.12E-2</v>
      </c>
      <c r="R35" s="361">
        <v>2.0899999999999998E-2</v>
      </c>
      <c r="S35" s="361">
        <v>2.1399999999999999E-2</v>
      </c>
      <c r="T35" s="361">
        <v>1.9E-2</v>
      </c>
      <c r="U35" s="361">
        <v>1.9800000000000002E-2</v>
      </c>
    </row>
    <row r="36" spans="1:34" s="205" customFormat="1" ht="15.6" x14ac:dyDescent="0.3">
      <c r="A36" s="6"/>
      <c r="B36" s="405" t="s">
        <v>202</v>
      </c>
      <c r="C36" s="406"/>
      <c r="D36" s="407"/>
      <c r="E36" s="408"/>
      <c r="F36" s="407"/>
      <c r="G36" s="407"/>
      <c r="H36" s="407"/>
      <c r="I36" s="407"/>
      <c r="J36" s="407"/>
      <c r="K36" s="407"/>
      <c r="L36" s="407"/>
      <c r="M36" s="407"/>
      <c r="N36" s="407"/>
      <c r="O36" s="407"/>
      <c r="P36" s="407"/>
      <c r="Q36" s="407"/>
      <c r="R36" s="407"/>
      <c r="S36" s="407"/>
      <c r="T36" s="407"/>
      <c r="U36" s="6"/>
      <c r="V36" s="6"/>
      <c r="W36" s="6"/>
      <c r="X36" s="6"/>
      <c r="Y36" s="6"/>
      <c r="Z36" s="6"/>
      <c r="AA36" s="6"/>
      <c r="AB36" s="6"/>
      <c r="AC36" s="6"/>
      <c r="AD36" s="6"/>
      <c r="AE36" s="6"/>
      <c r="AF36" s="6"/>
      <c r="AG36" s="6"/>
      <c r="AH36" s="6"/>
    </row>
    <row r="37" spans="1:34" s="205" customFormat="1" ht="15.6" x14ac:dyDescent="0.3">
      <c r="A37" s="6"/>
      <c r="B37" s="409" t="s">
        <v>604</v>
      </c>
      <c r="C37" s="410"/>
      <c r="D37" s="407"/>
      <c r="E37" s="408"/>
      <c r="F37" s="407"/>
      <c r="G37" s="407"/>
      <c r="H37" s="407"/>
      <c r="I37" s="407"/>
      <c r="J37" s="407"/>
      <c r="K37" s="407"/>
      <c r="L37" s="407"/>
      <c r="M37" s="407"/>
      <c r="N37" s="407"/>
      <c r="O37" s="407"/>
      <c r="P37" s="407"/>
      <c r="Q37" s="407"/>
      <c r="R37" s="407"/>
      <c r="S37" s="407"/>
      <c r="T37" s="407"/>
      <c r="U37" s="6"/>
      <c r="V37" s="6"/>
      <c r="W37" s="6"/>
      <c r="X37" s="6"/>
      <c r="Y37" s="6"/>
      <c r="Z37" s="6"/>
      <c r="AA37" s="6"/>
      <c r="AB37" s="6"/>
      <c r="AC37" s="6"/>
      <c r="AD37" s="6"/>
      <c r="AE37" s="6"/>
      <c r="AF37" s="6"/>
      <c r="AG37" s="6"/>
      <c r="AH37" s="6"/>
    </row>
    <row r="38" spans="1:34" s="46" customFormat="1" ht="15.6" x14ac:dyDescent="0.3">
      <c r="A38" s="6"/>
      <c r="B38" s="674" t="s">
        <v>16</v>
      </c>
      <c r="C38" s="675"/>
      <c r="D38" s="363">
        <v>500</v>
      </c>
      <c r="E38" s="289">
        <v>680</v>
      </c>
      <c r="F38" s="289">
        <v>719</v>
      </c>
      <c r="G38" s="289">
        <v>734</v>
      </c>
      <c r="H38" s="289">
        <v>802</v>
      </c>
      <c r="I38" s="289">
        <v>844</v>
      </c>
      <c r="J38" s="289">
        <v>889</v>
      </c>
      <c r="K38" s="289">
        <v>913</v>
      </c>
      <c r="L38" s="289">
        <v>942</v>
      </c>
      <c r="M38" s="272">
        <v>1080</v>
      </c>
      <c r="N38" s="272">
        <v>1016</v>
      </c>
      <c r="O38" s="272">
        <v>1033</v>
      </c>
      <c r="P38" s="272">
        <v>1098</v>
      </c>
      <c r="Q38" s="272">
        <v>1132</v>
      </c>
      <c r="R38" s="272">
        <v>1160</v>
      </c>
      <c r="S38" s="272">
        <v>1186</v>
      </c>
      <c r="T38" s="272">
        <v>1221</v>
      </c>
      <c r="U38" s="272">
        <v>1254</v>
      </c>
      <c r="V38" s="6"/>
      <c r="W38" s="6"/>
      <c r="X38" s="6"/>
      <c r="Y38" s="6"/>
      <c r="Z38" s="6"/>
      <c r="AA38" s="6"/>
      <c r="AB38" s="6"/>
      <c r="AC38" s="6"/>
      <c r="AD38" s="6"/>
      <c r="AE38" s="6"/>
      <c r="AF38" s="6"/>
      <c r="AG38" s="6"/>
      <c r="AH38" s="6"/>
    </row>
    <row r="39" spans="1:34" ht="15.6" x14ac:dyDescent="0.3">
      <c r="B39" s="674" t="s">
        <v>217</v>
      </c>
      <c r="C39" s="675"/>
      <c r="D39" s="364">
        <v>0.75</v>
      </c>
      <c r="E39" s="364">
        <v>0.9</v>
      </c>
      <c r="F39" s="365">
        <v>0.86</v>
      </c>
      <c r="G39" s="364">
        <v>0.86</v>
      </c>
      <c r="H39" s="365">
        <v>0.9</v>
      </c>
      <c r="I39" s="364">
        <v>0.8</v>
      </c>
      <c r="J39" s="365">
        <v>0.92</v>
      </c>
      <c r="K39" s="364">
        <v>0.93400000000000005</v>
      </c>
      <c r="L39" s="365">
        <v>0.95</v>
      </c>
      <c r="M39" s="366">
        <v>0.95</v>
      </c>
      <c r="N39" s="366">
        <v>0.95599999999999996</v>
      </c>
      <c r="O39" s="366">
        <v>0.95</v>
      </c>
      <c r="P39" s="366">
        <v>0.95399999999999996</v>
      </c>
      <c r="Q39" s="366">
        <v>0.94099999999999995</v>
      </c>
      <c r="R39" s="366">
        <v>0.94399999999999995</v>
      </c>
      <c r="S39" s="366">
        <v>0.95</v>
      </c>
      <c r="T39" s="366">
        <v>0.95</v>
      </c>
      <c r="U39" s="366">
        <v>0.95</v>
      </c>
    </row>
    <row r="40" spans="1:34" ht="15.6" x14ac:dyDescent="0.3">
      <c r="B40" s="674" t="s">
        <v>227</v>
      </c>
      <c r="C40" s="675"/>
      <c r="D40" s="364"/>
      <c r="E40" s="364"/>
      <c r="F40" s="365"/>
      <c r="G40" s="364"/>
      <c r="H40" s="365">
        <v>0</v>
      </c>
      <c r="I40" s="365">
        <v>0</v>
      </c>
      <c r="J40" s="365">
        <v>0</v>
      </c>
      <c r="K40" s="365">
        <v>0</v>
      </c>
      <c r="L40" s="365">
        <v>0</v>
      </c>
      <c r="M40" s="365">
        <v>0</v>
      </c>
      <c r="N40" s="365">
        <v>0</v>
      </c>
      <c r="O40" s="365">
        <v>0</v>
      </c>
      <c r="P40" s="365">
        <v>0</v>
      </c>
      <c r="Q40" s="365">
        <v>0</v>
      </c>
      <c r="R40" s="365">
        <v>0</v>
      </c>
      <c r="S40" s="365">
        <v>0</v>
      </c>
      <c r="T40" s="365">
        <v>0</v>
      </c>
      <c r="U40" s="365">
        <v>0</v>
      </c>
    </row>
    <row r="41" spans="1:34" ht="15.6" x14ac:dyDescent="0.3">
      <c r="B41" s="674" t="s">
        <v>228</v>
      </c>
      <c r="C41" s="675"/>
      <c r="D41" s="364"/>
      <c r="E41" s="364"/>
      <c r="F41" s="365"/>
      <c r="G41" s="364"/>
      <c r="H41" s="365">
        <v>0</v>
      </c>
      <c r="I41" s="365">
        <v>0</v>
      </c>
      <c r="J41" s="365">
        <v>0</v>
      </c>
      <c r="K41" s="365">
        <v>0</v>
      </c>
      <c r="L41" s="365">
        <v>0</v>
      </c>
      <c r="M41" s="365">
        <v>0</v>
      </c>
      <c r="N41" s="365">
        <v>0</v>
      </c>
      <c r="O41" s="365">
        <v>0</v>
      </c>
      <c r="P41" s="365">
        <v>0</v>
      </c>
      <c r="Q41" s="365">
        <v>0</v>
      </c>
      <c r="R41" s="365">
        <v>0</v>
      </c>
      <c r="S41" s="365">
        <v>0</v>
      </c>
      <c r="T41" s="365">
        <v>0</v>
      </c>
      <c r="U41" s="365">
        <v>0</v>
      </c>
    </row>
    <row r="42" spans="1:34" ht="15.6" x14ac:dyDescent="0.3">
      <c r="B42" s="674" t="s">
        <v>229</v>
      </c>
      <c r="C42" s="675"/>
      <c r="D42" s="364"/>
      <c r="E42" s="364"/>
      <c r="F42" s="365"/>
      <c r="G42" s="364"/>
      <c r="H42" s="365">
        <v>0</v>
      </c>
      <c r="I42" s="365">
        <v>0</v>
      </c>
      <c r="J42" s="365">
        <v>0</v>
      </c>
      <c r="K42" s="365">
        <v>0</v>
      </c>
      <c r="L42" s="365">
        <v>0</v>
      </c>
      <c r="M42" s="365">
        <v>0</v>
      </c>
      <c r="N42" s="365">
        <v>0</v>
      </c>
      <c r="O42" s="365">
        <v>0</v>
      </c>
      <c r="P42" s="365">
        <v>0</v>
      </c>
      <c r="Q42" s="365">
        <v>0</v>
      </c>
      <c r="R42" s="365">
        <v>0</v>
      </c>
      <c r="S42" s="365">
        <v>0</v>
      </c>
      <c r="T42" s="365">
        <v>0</v>
      </c>
      <c r="U42" s="365">
        <v>0</v>
      </c>
    </row>
    <row r="43" spans="1:34" ht="15.6" x14ac:dyDescent="0.3">
      <c r="B43" s="674" t="s">
        <v>230</v>
      </c>
      <c r="C43" s="675"/>
      <c r="D43" s="364"/>
      <c r="E43" s="364"/>
      <c r="F43" s="365"/>
      <c r="G43" s="364"/>
      <c r="H43" s="365">
        <v>0</v>
      </c>
      <c r="I43" s="365">
        <v>0</v>
      </c>
      <c r="J43" s="365">
        <v>0</v>
      </c>
      <c r="K43" s="365">
        <v>0</v>
      </c>
      <c r="L43" s="365">
        <v>0</v>
      </c>
      <c r="M43" s="365">
        <v>0</v>
      </c>
      <c r="N43" s="365">
        <v>0</v>
      </c>
      <c r="O43" s="365">
        <v>0</v>
      </c>
      <c r="P43" s="365">
        <v>0</v>
      </c>
      <c r="Q43" s="365">
        <v>0</v>
      </c>
      <c r="R43" s="365">
        <v>0</v>
      </c>
      <c r="S43" s="365">
        <v>0</v>
      </c>
      <c r="T43" s="365">
        <v>0</v>
      </c>
      <c r="U43" s="365">
        <v>0</v>
      </c>
    </row>
    <row r="44" spans="1:34" ht="15.6" x14ac:dyDescent="0.3">
      <c r="B44" s="674" t="s">
        <v>231</v>
      </c>
      <c r="C44" s="675"/>
      <c r="D44" s="364"/>
      <c r="E44" s="364"/>
      <c r="F44" s="365"/>
      <c r="G44" s="364"/>
      <c r="H44" s="365">
        <v>1</v>
      </c>
      <c r="I44" s="365">
        <v>1</v>
      </c>
      <c r="J44" s="365">
        <v>1</v>
      </c>
      <c r="K44" s="365">
        <v>1</v>
      </c>
      <c r="L44" s="365">
        <v>1</v>
      </c>
      <c r="M44" s="365">
        <v>1</v>
      </c>
      <c r="N44" s="365">
        <v>1</v>
      </c>
      <c r="O44" s="365">
        <v>1</v>
      </c>
      <c r="P44" s="365">
        <v>1</v>
      </c>
      <c r="Q44" s="365">
        <v>1</v>
      </c>
      <c r="R44" s="365">
        <v>1</v>
      </c>
      <c r="S44" s="365">
        <v>1</v>
      </c>
      <c r="T44" s="365">
        <v>1</v>
      </c>
      <c r="U44" s="365">
        <v>1</v>
      </c>
    </row>
    <row r="45" spans="1:34" ht="15.6" x14ac:dyDescent="0.3">
      <c r="B45" s="245" t="s">
        <v>9</v>
      </c>
      <c r="C45" s="245"/>
      <c r="D45" s="258"/>
      <c r="E45" s="258"/>
      <c r="F45" s="258"/>
      <c r="G45" s="258"/>
      <c r="H45" s="258"/>
      <c r="I45" s="258"/>
      <c r="J45" s="258"/>
      <c r="K45" s="258"/>
      <c r="L45" s="258"/>
      <c r="M45" s="258"/>
      <c r="N45" s="258"/>
      <c r="O45" s="258"/>
      <c r="P45" s="258"/>
      <c r="Q45" s="258"/>
      <c r="R45" s="258"/>
      <c r="S45" s="258"/>
      <c r="T45" s="258"/>
      <c r="U45" s="258"/>
    </row>
    <row r="46" spans="1:34" ht="15.6" x14ac:dyDescent="0.3">
      <c r="B46" s="674" t="s">
        <v>29</v>
      </c>
      <c r="C46" s="675"/>
      <c r="D46" s="314"/>
      <c r="E46" s="314"/>
      <c r="F46" s="243"/>
      <c r="G46" s="243"/>
      <c r="H46" s="243"/>
      <c r="I46" s="243"/>
      <c r="J46" s="243"/>
      <c r="K46" s="243"/>
      <c r="L46" s="243"/>
      <c r="M46" s="264"/>
      <c r="N46" s="264"/>
      <c r="O46" s="264"/>
      <c r="P46" s="264"/>
      <c r="Q46" s="264"/>
      <c r="R46" s="264"/>
      <c r="S46" s="264"/>
      <c r="T46" s="264"/>
    </row>
    <row r="47" spans="1:34" ht="15.6" x14ac:dyDescent="0.3">
      <c r="B47" s="674" t="s">
        <v>221</v>
      </c>
      <c r="C47" s="675"/>
      <c r="D47" s="314"/>
      <c r="E47" s="314"/>
      <c r="F47" s="243"/>
      <c r="G47" s="243"/>
      <c r="H47" s="314">
        <v>195600</v>
      </c>
      <c r="I47" s="314">
        <v>225000</v>
      </c>
      <c r="J47" s="314">
        <v>257000</v>
      </c>
      <c r="K47" s="243"/>
      <c r="L47" s="243"/>
      <c r="M47" s="264"/>
      <c r="N47" s="264"/>
      <c r="O47" s="264"/>
      <c r="P47" s="264"/>
      <c r="Q47" s="264"/>
      <c r="R47" s="264"/>
      <c r="S47" s="264"/>
      <c r="T47" s="264"/>
    </row>
    <row r="48" spans="1:34" ht="15.6" x14ac:dyDescent="0.3">
      <c r="B48" s="674" t="s">
        <v>7</v>
      </c>
      <c r="C48" s="675"/>
      <c r="D48" s="314"/>
      <c r="E48" s="314"/>
      <c r="F48" s="243"/>
      <c r="G48" s="243"/>
      <c r="H48" s="243"/>
      <c r="I48" s="243"/>
      <c r="J48" s="243"/>
      <c r="K48" s="243"/>
      <c r="L48" s="243"/>
      <c r="M48" s="264"/>
      <c r="N48" s="264"/>
      <c r="O48" s="264"/>
      <c r="P48" s="264"/>
      <c r="Q48" s="264"/>
      <c r="R48" s="264"/>
      <c r="S48" s="264"/>
      <c r="T48" s="264"/>
    </row>
    <row r="49" spans="2:21" ht="15.6" x14ac:dyDescent="0.3">
      <c r="B49" s="245" t="s">
        <v>8</v>
      </c>
      <c r="C49" s="245"/>
      <c r="D49" s="258"/>
      <c r="E49" s="258"/>
      <c r="F49" s="258"/>
      <c r="G49" s="258"/>
      <c r="H49" s="258"/>
      <c r="I49" s="258"/>
      <c r="J49" s="258"/>
      <c r="K49" s="258"/>
      <c r="L49" s="258"/>
      <c r="M49" s="258"/>
      <c r="N49" s="258"/>
      <c r="O49" s="258"/>
      <c r="P49" s="258"/>
      <c r="Q49" s="258"/>
      <c r="R49" s="258"/>
      <c r="S49" s="258"/>
      <c r="T49" s="258"/>
      <c r="U49" s="258"/>
    </row>
    <row r="50" spans="2:21" ht="15.6" x14ac:dyDescent="0.3">
      <c r="B50" s="674" t="s">
        <v>218</v>
      </c>
      <c r="C50" s="675"/>
      <c r="D50" s="243">
        <v>4490.1000000000004</v>
      </c>
      <c r="E50" s="289">
        <v>10500</v>
      </c>
      <c r="F50" s="289">
        <v>18881</v>
      </c>
      <c r="G50" s="289">
        <v>10094</v>
      </c>
      <c r="H50" s="289">
        <v>15503</v>
      </c>
      <c r="I50" s="289">
        <v>18012</v>
      </c>
      <c r="J50" s="289">
        <v>19995</v>
      </c>
      <c r="K50" s="289">
        <v>23875</v>
      </c>
      <c r="L50" s="289">
        <v>35704</v>
      </c>
      <c r="M50" s="272">
        <v>51297</v>
      </c>
      <c r="N50" s="272">
        <v>60543</v>
      </c>
      <c r="O50" s="272">
        <v>69044</v>
      </c>
      <c r="P50" s="272">
        <v>87429</v>
      </c>
      <c r="Q50" s="272">
        <v>93091</v>
      </c>
      <c r="R50" s="272">
        <v>96676.93</v>
      </c>
      <c r="S50" s="272">
        <v>100174</v>
      </c>
      <c r="T50" s="272">
        <v>88673</v>
      </c>
      <c r="U50" s="272">
        <v>91980.01</v>
      </c>
    </row>
    <row r="51" spans="2:21" ht="15.6" x14ac:dyDescent="0.3">
      <c r="B51" s="674" t="s">
        <v>220</v>
      </c>
      <c r="C51" s="675"/>
      <c r="D51" s="272">
        <v>32776</v>
      </c>
      <c r="E51" s="289">
        <v>43300</v>
      </c>
      <c r="F51" s="289">
        <v>62181</v>
      </c>
      <c r="G51" s="289">
        <v>72275</v>
      </c>
      <c r="H51" s="289">
        <f t="shared" ref="H51:U51" si="0">G51+H50</f>
        <v>87778</v>
      </c>
      <c r="I51" s="289">
        <f t="shared" si="0"/>
        <v>105790</v>
      </c>
      <c r="J51" s="289">
        <f t="shared" si="0"/>
        <v>125785</v>
      </c>
      <c r="K51" s="289">
        <f t="shared" si="0"/>
        <v>149660</v>
      </c>
      <c r="L51" s="289">
        <f t="shared" si="0"/>
        <v>185364</v>
      </c>
      <c r="M51" s="289">
        <f t="shared" si="0"/>
        <v>236661</v>
      </c>
      <c r="N51" s="289">
        <f t="shared" si="0"/>
        <v>297204</v>
      </c>
      <c r="O51" s="289">
        <f t="shared" si="0"/>
        <v>366248</v>
      </c>
      <c r="P51" s="289">
        <f t="shared" si="0"/>
        <v>453677</v>
      </c>
      <c r="Q51" s="289">
        <f t="shared" si="0"/>
        <v>546768</v>
      </c>
      <c r="R51" s="289">
        <f t="shared" si="0"/>
        <v>643444.92999999993</v>
      </c>
      <c r="S51" s="289">
        <f t="shared" si="0"/>
        <v>743618.92999999993</v>
      </c>
      <c r="T51" s="289">
        <f t="shared" si="0"/>
        <v>832291.92999999993</v>
      </c>
      <c r="U51" s="289">
        <f t="shared" si="0"/>
        <v>924271.94</v>
      </c>
    </row>
    <row r="52" spans="2:21" ht="15.6" x14ac:dyDescent="0.3">
      <c r="B52" s="674" t="s">
        <v>222</v>
      </c>
      <c r="C52" s="675"/>
      <c r="D52" s="272"/>
      <c r="E52" s="272"/>
      <c r="F52" s="243"/>
      <c r="G52" s="243"/>
      <c r="H52" s="289">
        <v>1211</v>
      </c>
      <c r="I52" s="289">
        <v>1430</v>
      </c>
      <c r="J52" s="289">
        <v>1709</v>
      </c>
      <c r="K52" s="289"/>
      <c r="L52" s="289">
        <v>3255</v>
      </c>
      <c r="M52" s="272">
        <v>4145</v>
      </c>
      <c r="N52" s="272">
        <v>4854</v>
      </c>
      <c r="O52" s="272">
        <v>5676</v>
      </c>
      <c r="P52" s="272">
        <v>6472</v>
      </c>
      <c r="Q52" s="264" t="s">
        <v>514</v>
      </c>
      <c r="R52" s="264" t="s">
        <v>514</v>
      </c>
      <c r="S52" s="264"/>
      <c r="T52" s="264"/>
    </row>
    <row r="53" spans="2:21" ht="15.6" x14ac:dyDescent="0.3">
      <c r="B53" s="674"/>
      <c r="C53" s="674"/>
      <c r="D53" s="260"/>
      <c r="E53" s="243"/>
      <c r="F53" s="243"/>
      <c r="G53" s="243"/>
      <c r="H53" s="243"/>
      <c r="I53" s="243"/>
      <c r="J53" s="243"/>
      <c r="K53" s="243"/>
      <c r="L53" s="243"/>
      <c r="M53" s="264"/>
      <c r="N53" s="264"/>
      <c r="O53" s="264"/>
      <c r="P53" s="264"/>
      <c r="Q53" s="264"/>
      <c r="R53" s="264"/>
      <c r="S53" s="264"/>
      <c r="T53" s="264"/>
    </row>
    <row r="54" spans="2:21" ht="15.6" x14ac:dyDescent="0.3">
      <c r="B54" s="257"/>
      <c r="C54" s="257"/>
      <c r="D54" s="243"/>
      <c r="E54" s="243"/>
      <c r="F54" s="243"/>
      <c r="G54" s="243"/>
      <c r="H54" s="243"/>
      <c r="I54" s="243"/>
      <c r="J54" s="243"/>
      <c r="K54" s="243"/>
      <c r="L54" s="243"/>
      <c r="M54" s="264"/>
      <c r="N54" s="264"/>
      <c r="O54" s="264"/>
      <c r="P54" s="264"/>
      <c r="Q54" s="264"/>
      <c r="R54" s="264"/>
      <c r="S54" s="264"/>
      <c r="T54" s="264"/>
    </row>
    <row r="55" spans="2:21" ht="15.6" x14ac:dyDescent="0.3">
      <c r="B55" s="676" t="s">
        <v>232</v>
      </c>
      <c r="C55" s="676"/>
      <c r="D55" s="367"/>
      <c r="E55" s="258"/>
      <c r="F55" s="367"/>
      <c r="G55" s="367"/>
      <c r="H55" s="367"/>
      <c r="I55" s="367"/>
      <c r="J55" s="367"/>
      <c r="K55" s="367"/>
      <c r="L55" s="367"/>
      <c r="M55" s="367"/>
      <c r="N55" s="367"/>
      <c r="O55" s="367"/>
      <c r="P55" s="367"/>
      <c r="Q55" s="367"/>
      <c r="R55" s="367"/>
      <c r="S55" s="367"/>
      <c r="T55" s="367"/>
      <c r="U55" s="367"/>
    </row>
    <row r="56" spans="2:21" ht="15.6" x14ac:dyDescent="0.3">
      <c r="B56" s="244"/>
      <c r="C56" s="244"/>
      <c r="D56" s="244">
        <v>2000</v>
      </c>
      <c r="E56" s="244">
        <v>2001</v>
      </c>
      <c r="F56" s="244">
        <v>2002</v>
      </c>
      <c r="G56" s="244">
        <v>2003</v>
      </c>
      <c r="H56" s="244">
        <v>2004</v>
      </c>
      <c r="I56" s="244">
        <v>2005</v>
      </c>
      <c r="J56" s="244">
        <v>2006</v>
      </c>
      <c r="K56" s="244">
        <v>2007</v>
      </c>
      <c r="L56" s="244">
        <v>2008</v>
      </c>
      <c r="M56" s="244">
        <v>2009</v>
      </c>
      <c r="N56" s="244">
        <v>2010</v>
      </c>
      <c r="O56" s="244">
        <v>2011</v>
      </c>
      <c r="P56" s="244">
        <v>2012</v>
      </c>
      <c r="Q56" s="244">
        <v>2013</v>
      </c>
      <c r="R56" s="244">
        <v>2014</v>
      </c>
      <c r="S56" s="244">
        <v>2015</v>
      </c>
      <c r="T56" s="244">
        <v>2016</v>
      </c>
      <c r="U56" s="244">
        <v>2017</v>
      </c>
    </row>
    <row r="57" spans="2:21" ht="15.6" x14ac:dyDescent="0.3">
      <c r="B57" s="353" t="s">
        <v>223</v>
      </c>
      <c r="C57" s="319" t="s">
        <v>225</v>
      </c>
      <c r="D57" s="272"/>
      <c r="E57" s="272"/>
      <c r="F57" s="243"/>
      <c r="G57" s="243"/>
      <c r="H57" s="243">
        <v>262.8</v>
      </c>
      <c r="I57" s="243">
        <v>332</v>
      </c>
      <c r="J57" s="243">
        <v>480</v>
      </c>
      <c r="K57" s="243"/>
      <c r="L57" s="243"/>
      <c r="M57" s="264"/>
      <c r="N57" s="264"/>
      <c r="O57" s="264"/>
      <c r="P57" s="264"/>
      <c r="Q57" s="264"/>
      <c r="R57" s="264"/>
      <c r="S57" s="264"/>
      <c r="T57" s="264"/>
      <c r="U57" s="264"/>
    </row>
    <row r="58" spans="2:21" ht="15.6" x14ac:dyDescent="0.3">
      <c r="B58" s="353" t="s">
        <v>224</v>
      </c>
      <c r="C58" s="319" t="s">
        <v>225</v>
      </c>
      <c r="D58" s="272"/>
      <c r="E58" s="272"/>
      <c r="F58" s="243"/>
      <c r="G58" s="243"/>
      <c r="H58" s="243">
        <v>22</v>
      </c>
      <c r="I58" s="243">
        <v>28</v>
      </c>
      <c r="J58" s="243">
        <v>41</v>
      </c>
      <c r="K58" s="243"/>
      <c r="L58" s="243"/>
      <c r="M58" s="264"/>
      <c r="N58" s="264"/>
      <c r="O58" s="264"/>
      <c r="P58" s="264"/>
      <c r="Q58" s="264"/>
      <c r="R58" s="264"/>
      <c r="S58" s="264"/>
      <c r="T58" s="264"/>
      <c r="U58" s="264"/>
    </row>
    <row r="59" spans="2:21" ht="15.6" x14ac:dyDescent="0.3">
      <c r="B59" s="353" t="s">
        <v>207</v>
      </c>
      <c r="C59" s="319" t="s">
        <v>225</v>
      </c>
      <c r="D59" s="272"/>
      <c r="E59" s="272"/>
      <c r="F59" s="243"/>
      <c r="G59" s="243"/>
      <c r="H59" s="243"/>
      <c r="I59" s="243"/>
      <c r="J59" s="243"/>
      <c r="K59" s="243"/>
      <c r="L59" s="243"/>
      <c r="M59" s="264"/>
      <c r="N59" s="264"/>
      <c r="O59" s="264"/>
      <c r="P59" s="264"/>
      <c r="Q59" s="264"/>
      <c r="R59" s="264"/>
      <c r="S59" s="264"/>
      <c r="T59" s="264"/>
      <c r="U59" s="264"/>
    </row>
    <row r="60" spans="2:21" ht="15.6" x14ac:dyDescent="0.3">
      <c r="B60" s="354" t="s">
        <v>223</v>
      </c>
      <c r="C60" s="302" t="s">
        <v>178</v>
      </c>
      <c r="D60" s="322"/>
      <c r="E60" s="322"/>
      <c r="F60" s="348"/>
      <c r="G60" s="348"/>
      <c r="H60" s="348">
        <v>1866.6</v>
      </c>
      <c r="I60" s="348">
        <v>1877</v>
      </c>
      <c r="J60" s="348">
        <v>2130</v>
      </c>
      <c r="K60" s="348"/>
      <c r="L60" s="348"/>
      <c r="M60" s="348"/>
      <c r="N60" s="348"/>
      <c r="O60" s="348"/>
      <c r="P60" s="348"/>
      <c r="Q60" s="348"/>
      <c r="R60" s="348"/>
      <c r="S60" s="348"/>
      <c r="T60" s="348"/>
      <c r="U60" s="348"/>
    </row>
    <row r="61" spans="2:21" ht="15.6" x14ac:dyDescent="0.3">
      <c r="B61" s="354" t="s">
        <v>224</v>
      </c>
      <c r="C61" s="302" t="s">
        <v>178</v>
      </c>
      <c r="D61" s="322"/>
      <c r="E61" s="322"/>
      <c r="F61" s="348"/>
      <c r="G61" s="348"/>
      <c r="H61" s="348">
        <v>143</v>
      </c>
      <c r="I61" s="348">
        <v>143</v>
      </c>
      <c r="J61" s="348">
        <v>178</v>
      </c>
      <c r="K61" s="348"/>
      <c r="L61" s="348"/>
      <c r="M61" s="348"/>
      <c r="N61" s="348"/>
      <c r="O61" s="348"/>
      <c r="P61" s="348"/>
      <c r="Q61" s="348"/>
      <c r="R61" s="348"/>
      <c r="S61" s="348"/>
      <c r="T61" s="348"/>
      <c r="U61" s="348"/>
    </row>
    <row r="62" spans="2:21" ht="15.6" x14ac:dyDescent="0.3">
      <c r="B62" s="354" t="s">
        <v>207</v>
      </c>
      <c r="C62" s="302" t="s">
        <v>178</v>
      </c>
      <c r="D62" s="322"/>
      <c r="E62" s="322"/>
      <c r="F62" s="348"/>
      <c r="G62" s="348"/>
      <c r="H62" s="348"/>
      <c r="I62" s="348"/>
      <c r="J62" s="348"/>
      <c r="K62" s="348"/>
      <c r="L62" s="348"/>
      <c r="M62" s="348"/>
      <c r="N62" s="348"/>
      <c r="O62" s="348"/>
      <c r="P62" s="348"/>
      <c r="Q62" s="348"/>
      <c r="R62" s="348"/>
      <c r="S62" s="348"/>
      <c r="T62" s="348"/>
      <c r="U62" s="348"/>
    </row>
    <row r="63" spans="2:21" ht="15.6" x14ac:dyDescent="0.3">
      <c r="B63" s="353" t="s">
        <v>223</v>
      </c>
      <c r="C63" s="259" t="s">
        <v>205</v>
      </c>
      <c r="D63" s="272"/>
      <c r="E63" s="272"/>
      <c r="F63" s="243"/>
      <c r="G63" s="243"/>
      <c r="H63" s="243">
        <v>5678</v>
      </c>
      <c r="I63" s="243">
        <v>7138</v>
      </c>
      <c r="J63" s="243">
        <v>8117</v>
      </c>
      <c r="K63" s="243"/>
      <c r="L63" s="243"/>
      <c r="M63" s="243"/>
      <c r="N63" s="243"/>
      <c r="O63" s="243"/>
      <c r="P63" s="243"/>
      <c r="Q63" s="243"/>
      <c r="R63" s="243"/>
      <c r="S63" s="243"/>
      <c r="T63" s="243"/>
      <c r="U63" s="243"/>
    </row>
    <row r="64" spans="2:21" ht="15.6" x14ac:dyDescent="0.3">
      <c r="B64" s="353" t="s">
        <v>224</v>
      </c>
      <c r="C64" s="259" t="s">
        <v>205</v>
      </c>
      <c r="D64" s="272"/>
      <c r="E64" s="272"/>
      <c r="F64" s="243"/>
      <c r="G64" s="243"/>
      <c r="H64" s="243">
        <v>443</v>
      </c>
      <c r="I64" s="243">
        <v>574</v>
      </c>
      <c r="J64" s="243">
        <v>698</v>
      </c>
      <c r="K64" s="243"/>
      <c r="L64" s="243"/>
      <c r="M64" s="243"/>
      <c r="N64" s="243"/>
      <c r="O64" s="243"/>
      <c r="P64" s="243"/>
      <c r="Q64" s="243"/>
      <c r="R64" s="243"/>
      <c r="S64" s="243"/>
      <c r="T64" s="243"/>
      <c r="U64" s="243"/>
    </row>
    <row r="65" spans="2:21" ht="15.6" x14ac:dyDescent="0.3">
      <c r="B65" s="353" t="s">
        <v>207</v>
      </c>
      <c r="C65" s="318" t="s">
        <v>205</v>
      </c>
      <c r="D65" s="272"/>
      <c r="E65" s="272"/>
      <c r="F65" s="243"/>
      <c r="G65" s="243"/>
      <c r="H65" s="243"/>
      <c r="I65" s="243"/>
      <c r="J65" s="243"/>
      <c r="K65" s="243"/>
      <c r="L65" s="243"/>
      <c r="M65" s="243"/>
      <c r="N65" s="243"/>
      <c r="O65" s="243"/>
      <c r="P65" s="243"/>
      <c r="Q65" s="243"/>
      <c r="R65" s="243"/>
      <c r="S65" s="243"/>
      <c r="T65" s="243"/>
      <c r="U65" s="243"/>
    </row>
    <row r="66" spans="2:21" ht="15.6" x14ac:dyDescent="0.3">
      <c r="B66" s="354" t="s">
        <v>223</v>
      </c>
      <c r="C66" s="368" t="s">
        <v>206</v>
      </c>
      <c r="D66" s="322"/>
      <c r="E66" s="322"/>
      <c r="F66" s="348"/>
      <c r="G66" s="348"/>
      <c r="H66" s="348">
        <v>538.79999999999995</v>
      </c>
      <c r="I66" s="348">
        <v>743</v>
      </c>
      <c r="J66" s="348">
        <v>593</v>
      </c>
      <c r="K66" s="348"/>
      <c r="L66" s="348"/>
      <c r="M66" s="348"/>
      <c r="N66" s="348"/>
      <c r="O66" s="348"/>
      <c r="P66" s="348"/>
      <c r="Q66" s="348"/>
      <c r="R66" s="348"/>
      <c r="S66" s="348"/>
      <c r="T66" s="348"/>
      <c r="U66" s="348"/>
    </row>
    <row r="67" spans="2:21" ht="15.6" x14ac:dyDescent="0.3">
      <c r="B67" s="354" t="s">
        <v>224</v>
      </c>
      <c r="C67" s="368" t="s">
        <v>206</v>
      </c>
      <c r="D67" s="322"/>
      <c r="E67" s="322"/>
      <c r="F67" s="348"/>
      <c r="G67" s="348"/>
      <c r="H67" s="348">
        <v>40</v>
      </c>
      <c r="I67" s="348">
        <v>50</v>
      </c>
      <c r="J67" s="348">
        <v>47</v>
      </c>
      <c r="K67" s="348"/>
      <c r="L67" s="348"/>
      <c r="M67" s="348"/>
      <c r="N67" s="348"/>
      <c r="O67" s="348"/>
      <c r="P67" s="348"/>
      <c r="Q67" s="348"/>
      <c r="R67" s="348"/>
      <c r="S67" s="348"/>
      <c r="T67" s="348"/>
      <c r="U67" s="348"/>
    </row>
    <row r="68" spans="2:21" ht="15.6" x14ac:dyDescent="0.3">
      <c r="B68" s="354" t="s">
        <v>207</v>
      </c>
      <c r="C68" s="368" t="s">
        <v>206</v>
      </c>
      <c r="D68" s="322"/>
      <c r="E68" s="322"/>
      <c r="F68" s="348"/>
      <c r="G68" s="348"/>
      <c r="H68" s="348"/>
      <c r="I68" s="348"/>
      <c r="J68" s="348"/>
      <c r="K68" s="348"/>
      <c r="L68" s="348"/>
      <c r="M68" s="348"/>
      <c r="N68" s="348"/>
      <c r="O68" s="348"/>
      <c r="P68" s="348"/>
      <c r="Q68" s="348"/>
      <c r="R68" s="348"/>
      <c r="S68" s="348"/>
      <c r="T68" s="348"/>
      <c r="U68" s="348"/>
    </row>
    <row r="69" spans="2:21" ht="15.6" x14ac:dyDescent="0.3">
      <c r="B69" s="353" t="s">
        <v>223</v>
      </c>
      <c r="C69" s="318" t="s">
        <v>226</v>
      </c>
      <c r="D69" s="272"/>
      <c r="E69" s="272"/>
      <c r="F69" s="243"/>
      <c r="G69" s="243"/>
      <c r="H69" s="243">
        <v>1034.3</v>
      </c>
      <c r="I69" s="243">
        <v>1160</v>
      </c>
      <c r="J69" s="243">
        <v>1135</v>
      </c>
      <c r="K69" s="243"/>
      <c r="L69" s="243"/>
      <c r="M69" s="243"/>
      <c r="N69" s="243"/>
      <c r="O69" s="243"/>
      <c r="P69" s="243"/>
      <c r="Q69" s="243"/>
      <c r="R69" s="243"/>
      <c r="S69" s="243"/>
      <c r="T69" s="243"/>
      <c r="U69" s="243"/>
    </row>
    <row r="70" spans="2:21" ht="15.6" x14ac:dyDescent="0.3">
      <c r="B70" s="353" t="s">
        <v>224</v>
      </c>
      <c r="C70" s="318" t="s">
        <v>226</v>
      </c>
      <c r="D70" s="272"/>
      <c r="E70" s="272"/>
      <c r="F70" s="243"/>
      <c r="G70" s="243"/>
      <c r="H70" s="243">
        <v>85</v>
      </c>
      <c r="I70" s="243">
        <v>84</v>
      </c>
      <c r="J70" s="243">
        <v>97</v>
      </c>
      <c r="K70" s="243"/>
      <c r="L70" s="243"/>
      <c r="M70" s="243"/>
      <c r="N70" s="243"/>
      <c r="O70" s="243"/>
      <c r="P70" s="243"/>
      <c r="Q70" s="243"/>
      <c r="R70" s="243"/>
      <c r="S70" s="243"/>
      <c r="T70" s="243"/>
      <c r="U70" s="243"/>
    </row>
    <row r="71" spans="2:21" ht="15.6" x14ac:dyDescent="0.3">
      <c r="B71" s="353" t="s">
        <v>207</v>
      </c>
      <c r="C71" s="318" t="s">
        <v>226</v>
      </c>
      <c r="D71" s="272"/>
      <c r="E71" s="272"/>
      <c r="F71" s="243"/>
      <c r="G71" s="243"/>
      <c r="H71" s="243"/>
      <c r="I71" s="243"/>
      <c r="J71" s="243"/>
      <c r="K71" s="243"/>
      <c r="L71" s="243"/>
      <c r="M71" s="243"/>
      <c r="N71" s="243"/>
      <c r="O71" s="243"/>
      <c r="P71" s="243"/>
      <c r="Q71" s="243"/>
      <c r="R71" s="243"/>
      <c r="S71" s="243"/>
      <c r="T71" s="243"/>
      <c r="U71" s="243"/>
    </row>
    <row r="72" spans="2:21" ht="15.6" x14ac:dyDescent="0.3">
      <c r="B72" s="354" t="s">
        <v>223</v>
      </c>
      <c r="C72" s="368" t="s">
        <v>208</v>
      </c>
      <c r="D72" s="322"/>
      <c r="E72" s="322"/>
      <c r="F72" s="348"/>
      <c r="G72" s="348"/>
      <c r="H72" s="348">
        <v>1741.3</v>
      </c>
      <c r="I72" s="348">
        <v>1839</v>
      </c>
      <c r="J72" s="348">
        <v>2108</v>
      </c>
      <c r="K72" s="348"/>
      <c r="L72" s="348"/>
      <c r="M72" s="348"/>
      <c r="N72" s="348"/>
      <c r="O72" s="348"/>
      <c r="P72" s="348"/>
      <c r="Q72" s="348"/>
      <c r="R72" s="348"/>
      <c r="S72" s="348"/>
      <c r="T72" s="348"/>
      <c r="U72" s="348"/>
    </row>
    <row r="73" spans="2:21" ht="15.6" x14ac:dyDescent="0.3">
      <c r="B73" s="354" t="s">
        <v>224</v>
      </c>
      <c r="C73" s="368" t="s">
        <v>208</v>
      </c>
      <c r="D73" s="322"/>
      <c r="E73" s="322"/>
      <c r="F73" s="348"/>
      <c r="G73" s="348"/>
      <c r="H73" s="348">
        <v>140</v>
      </c>
      <c r="I73" s="348">
        <v>153</v>
      </c>
      <c r="J73" s="348">
        <v>197</v>
      </c>
      <c r="K73" s="348"/>
      <c r="L73" s="348"/>
      <c r="M73" s="348"/>
      <c r="N73" s="348"/>
      <c r="O73" s="348"/>
      <c r="P73" s="348"/>
      <c r="Q73" s="348"/>
      <c r="R73" s="348"/>
      <c r="S73" s="348"/>
      <c r="T73" s="348"/>
      <c r="U73" s="348"/>
    </row>
    <row r="74" spans="2:21" ht="15.6" x14ac:dyDescent="0.3">
      <c r="B74" s="354" t="s">
        <v>207</v>
      </c>
      <c r="C74" s="368" t="s">
        <v>208</v>
      </c>
      <c r="D74" s="322"/>
      <c r="E74" s="322"/>
      <c r="F74" s="348"/>
      <c r="G74" s="348"/>
      <c r="H74" s="348"/>
      <c r="I74" s="348"/>
      <c r="J74" s="348"/>
      <c r="K74" s="348"/>
      <c r="L74" s="348"/>
      <c r="M74" s="348"/>
      <c r="N74" s="348"/>
      <c r="O74" s="348"/>
      <c r="P74" s="348"/>
      <c r="Q74" s="348"/>
      <c r="R74" s="348"/>
      <c r="S74" s="348"/>
      <c r="T74" s="348"/>
      <c r="U74" s="348"/>
    </row>
    <row r="75" spans="2:21" ht="15.6" x14ac:dyDescent="0.3">
      <c r="B75" s="353" t="s">
        <v>223</v>
      </c>
      <c r="C75" s="318" t="s">
        <v>213</v>
      </c>
      <c r="D75" s="272"/>
      <c r="E75" s="272"/>
      <c r="F75" s="243"/>
      <c r="G75" s="243"/>
      <c r="H75" s="243">
        <v>4381.2</v>
      </c>
      <c r="I75" s="243">
        <v>4933</v>
      </c>
      <c r="J75" s="243">
        <v>5432</v>
      </c>
      <c r="K75" s="243"/>
      <c r="L75" s="243"/>
      <c r="M75" s="243"/>
      <c r="N75" s="243"/>
      <c r="O75" s="243"/>
      <c r="P75" s="243"/>
      <c r="Q75" s="243"/>
      <c r="R75" s="243"/>
      <c r="S75" s="243"/>
      <c r="T75" s="243"/>
      <c r="U75" s="243"/>
    </row>
    <row r="76" spans="2:21" ht="15.6" x14ac:dyDescent="0.3">
      <c r="B76" s="353" t="s">
        <v>224</v>
      </c>
      <c r="C76" s="318" t="s">
        <v>213</v>
      </c>
      <c r="D76" s="272"/>
      <c r="E76" s="272"/>
      <c r="F76" s="243"/>
      <c r="G76" s="243"/>
      <c r="H76" s="243">
        <v>338</v>
      </c>
      <c r="I76" s="243">
        <v>388</v>
      </c>
      <c r="J76" s="243">
        <v>451</v>
      </c>
      <c r="K76" s="243"/>
      <c r="L76" s="243"/>
      <c r="M76" s="243"/>
      <c r="N76" s="243"/>
      <c r="O76" s="243"/>
      <c r="P76" s="243"/>
      <c r="Q76" s="243"/>
      <c r="R76" s="243"/>
      <c r="S76" s="243"/>
      <c r="T76" s="243"/>
      <c r="U76" s="243"/>
    </row>
    <row r="77" spans="2:21" ht="15.6" x14ac:dyDescent="0.3">
      <c r="B77" s="353" t="s">
        <v>207</v>
      </c>
      <c r="C77" s="318" t="s">
        <v>213</v>
      </c>
      <c r="D77" s="272"/>
      <c r="E77" s="272"/>
      <c r="F77" s="243"/>
      <c r="G77" s="243"/>
      <c r="H77" s="243"/>
      <c r="I77" s="243"/>
      <c r="J77" s="243"/>
      <c r="K77" s="243"/>
      <c r="L77" s="243"/>
      <c r="M77" s="243"/>
      <c r="N77" s="243"/>
      <c r="O77" s="243"/>
      <c r="P77" s="243"/>
      <c r="Q77" s="243"/>
      <c r="R77" s="243"/>
      <c r="S77" s="243"/>
      <c r="T77" s="243"/>
      <c r="U77" s="243"/>
    </row>
    <row r="78" spans="2:21" ht="15.6" x14ac:dyDescent="0.3">
      <c r="B78" s="353"/>
      <c r="C78" s="246"/>
      <c r="D78" s="272"/>
      <c r="E78" s="272"/>
      <c r="F78" s="243"/>
      <c r="G78" s="243"/>
      <c r="H78" s="243"/>
      <c r="I78" s="243"/>
      <c r="J78" s="243"/>
      <c r="K78" s="243"/>
      <c r="L78" s="243"/>
      <c r="M78" s="243"/>
      <c r="N78" s="243"/>
      <c r="O78" s="243"/>
      <c r="P78" s="243"/>
      <c r="Q78" s="243"/>
      <c r="R78" s="243"/>
      <c r="S78" s="243"/>
      <c r="T78" s="243"/>
      <c r="U78" s="243"/>
    </row>
    <row r="79" spans="2:21" ht="15.6" x14ac:dyDescent="0.3">
      <c r="B79" s="676" t="s">
        <v>605</v>
      </c>
      <c r="C79" s="676"/>
      <c r="D79" s="367"/>
      <c r="E79" s="258"/>
      <c r="F79" s="367"/>
      <c r="G79" s="367"/>
      <c r="H79" s="367"/>
      <c r="I79" s="367"/>
      <c r="J79" s="367"/>
      <c r="K79" s="367"/>
      <c r="L79" s="367"/>
      <c r="M79" s="367"/>
      <c r="N79" s="367"/>
      <c r="O79" s="367"/>
      <c r="P79" s="367"/>
      <c r="Q79" s="367"/>
      <c r="R79" s="367"/>
      <c r="S79" s="367"/>
      <c r="T79" s="367"/>
      <c r="U79" s="367"/>
    </row>
    <row r="80" spans="2:21" ht="15.6" x14ac:dyDescent="0.3">
      <c r="B80" s="244"/>
      <c r="C80" s="244"/>
      <c r="D80" s="244">
        <v>2000</v>
      </c>
      <c r="E80" s="244">
        <v>2001</v>
      </c>
      <c r="F80" s="244">
        <v>2002</v>
      </c>
      <c r="G80" s="244">
        <v>2003</v>
      </c>
      <c r="H80" s="244">
        <v>2004</v>
      </c>
      <c r="I80" s="244">
        <v>2005</v>
      </c>
      <c r="J80" s="244">
        <v>2006</v>
      </c>
      <c r="K80" s="244">
        <v>2007</v>
      </c>
      <c r="L80" s="244">
        <v>2008</v>
      </c>
      <c r="M80" s="244">
        <v>2009</v>
      </c>
      <c r="N80" s="244">
        <v>2010</v>
      </c>
      <c r="O80" s="244">
        <v>2011</v>
      </c>
      <c r="P80" s="244">
        <v>2012</v>
      </c>
      <c r="Q80" s="244">
        <v>2013</v>
      </c>
      <c r="R80" s="244">
        <v>2014</v>
      </c>
      <c r="S80" s="244">
        <v>2015</v>
      </c>
      <c r="T80" s="244">
        <v>2016</v>
      </c>
      <c r="U80" s="244">
        <v>2017</v>
      </c>
    </row>
    <row r="81" spans="2:25" ht="15.6" x14ac:dyDescent="0.3">
      <c r="B81" s="353" t="s">
        <v>223</v>
      </c>
      <c r="C81" s="319" t="s">
        <v>233</v>
      </c>
      <c r="D81" s="243"/>
      <c r="E81" s="243"/>
      <c r="F81" s="243"/>
      <c r="G81" s="243"/>
      <c r="H81" s="243"/>
      <c r="I81" s="243"/>
      <c r="J81" s="243"/>
      <c r="K81" s="243"/>
      <c r="L81" s="243">
        <v>130.4</v>
      </c>
      <c r="M81" s="264">
        <v>212</v>
      </c>
      <c r="N81" s="264">
        <v>220</v>
      </c>
      <c r="O81" s="264">
        <v>236</v>
      </c>
      <c r="P81" s="264">
        <v>497.3</v>
      </c>
      <c r="Q81" s="264">
        <v>482.3</v>
      </c>
      <c r="R81" s="264">
        <v>495.51</v>
      </c>
      <c r="S81" s="264">
        <v>560.70000000000005</v>
      </c>
      <c r="T81" s="264">
        <v>408</v>
      </c>
      <c r="U81" s="264">
        <v>568.21</v>
      </c>
      <c r="Y81" s="264"/>
    </row>
    <row r="82" spans="2:25" ht="15.6" x14ac:dyDescent="0.3">
      <c r="B82" s="353" t="s">
        <v>224</v>
      </c>
      <c r="C82" s="319" t="s">
        <v>233</v>
      </c>
      <c r="D82" s="243"/>
      <c r="E82" s="243"/>
      <c r="F82" s="243"/>
      <c r="G82" s="243"/>
      <c r="H82" s="243"/>
      <c r="I82" s="243"/>
      <c r="J82" s="243"/>
      <c r="K82" s="243"/>
      <c r="L82" s="243">
        <v>11</v>
      </c>
      <c r="M82" s="264">
        <v>18</v>
      </c>
      <c r="N82" s="264">
        <v>16</v>
      </c>
      <c r="O82" s="264">
        <v>19</v>
      </c>
      <c r="P82" s="264">
        <v>30</v>
      </c>
      <c r="Q82" s="264"/>
      <c r="R82" s="264"/>
      <c r="S82" s="264"/>
      <c r="T82" s="264"/>
      <c r="Y82" s="264"/>
    </row>
    <row r="83" spans="2:25" ht="15.6" x14ac:dyDescent="0.3">
      <c r="B83" s="353" t="s">
        <v>207</v>
      </c>
      <c r="C83" s="319" t="s">
        <v>233</v>
      </c>
      <c r="D83" s="243"/>
      <c r="E83" s="243"/>
      <c r="F83" s="243"/>
      <c r="G83" s="243"/>
      <c r="H83" s="243"/>
      <c r="I83" s="243"/>
      <c r="J83" s="243"/>
      <c r="K83" s="243"/>
      <c r="L83" s="289">
        <v>32111</v>
      </c>
      <c r="M83" s="264"/>
      <c r="N83" s="264"/>
      <c r="O83" s="264"/>
      <c r="P83" s="264"/>
      <c r="Q83" s="264"/>
      <c r="R83" s="264"/>
      <c r="S83" s="264"/>
      <c r="T83" s="264"/>
      <c r="Y83" s="264"/>
    </row>
    <row r="84" spans="2:25" ht="15.6" x14ac:dyDescent="0.3">
      <c r="B84" s="354" t="s">
        <v>223</v>
      </c>
      <c r="C84" s="321" t="s">
        <v>234</v>
      </c>
      <c r="D84" s="348"/>
      <c r="E84" s="348"/>
      <c r="F84" s="348"/>
      <c r="G84" s="348"/>
      <c r="H84" s="348"/>
      <c r="I84" s="348"/>
      <c r="J84" s="348"/>
      <c r="K84" s="348"/>
      <c r="L84" s="348">
        <v>335.2</v>
      </c>
      <c r="M84" s="348">
        <v>461</v>
      </c>
      <c r="N84" s="348">
        <v>568</v>
      </c>
      <c r="O84" s="348">
        <v>556</v>
      </c>
      <c r="P84" s="348">
        <v>548.47</v>
      </c>
      <c r="Q84" s="348">
        <v>562.30999999999995</v>
      </c>
      <c r="R84" s="348">
        <v>675.9</v>
      </c>
      <c r="S84" s="348">
        <v>701.12</v>
      </c>
      <c r="T84" s="348">
        <v>591</v>
      </c>
      <c r="U84" s="348">
        <v>636.52</v>
      </c>
      <c r="Y84" s="264"/>
    </row>
    <row r="85" spans="2:25" ht="15.6" x14ac:dyDescent="0.3">
      <c r="B85" s="354" t="s">
        <v>224</v>
      </c>
      <c r="C85" s="321" t="s">
        <v>234</v>
      </c>
      <c r="D85" s="348"/>
      <c r="E85" s="348"/>
      <c r="F85" s="348"/>
      <c r="G85" s="348"/>
      <c r="H85" s="348"/>
      <c r="I85" s="348"/>
      <c r="J85" s="348"/>
      <c r="K85" s="348"/>
      <c r="L85" s="348">
        <v>28</v>
      </c>
      <c r="M85" s="348">
        <v>35</v>
      </c>
      <c r="N85" s="348">
        <v>39</v>
      </c>
      <c r="O85" s="348">
        <v>38</v>
      </c>
      <c r="P85" s="348">
        <v>32</v>
      </c>
      <c r="Q85" s="348"/>
      <c r="R85" s="348"/>
      <c r="S85" s="348"/>
      <c r="T85" s="348"/>
      <c r="Y85" s="264"/>
    </row>
    <row r="86" spans="2:25" ht="15.6" x14ac:dyDescent="0.3">
      <c r="B86" s="354" t="s">
        <v>207</v>
      </c>
      <c r="C86" s="321" t="s">
        <v>234</v>
      </c>
      <c r="D86" s="348"/>
      <c r="E86" s="348"/>
      <c r="F86" s="348"/>
      <c r="G86" s="348"/>
      <c r="H86" s="348"/>
      <c r="I86" s="348"/>
      <c r="J86" s="348"/>
      <c r="K86" s="348"/>
      <c r="L86" s="322">
        <v>39841</v>
      </c>
      <c r="M86" s="322"/>
      <c r="N86" s="322"/>
      <c r="O86" s="322"/>
      <c r="P86" s="322"/>
      <c r="Q86" s="322"/>
      <c r="R86" s="322"/>
      <c r="S86" s="322"/>
      <c r="T86" s="322"/>
      <c r="Y86" s="264"/>
    </row>
    <row r="87" spans="2:25" ht="15.6" x14ac:dyDescent="0.3">
      <c r="B87" s="353" t="s">
        <v>223</v>
      </c>
      <c r="C87" s="319" t="s">
        <v>168</v>
      </c>
      <c r="D87" s="243"/>
      <c r="E87" s="243"/>
      <c r="F87" s="243"/>
      <c r="G87" s="243"/>
      <c r="H87" s="243"/>
      <c r="I87" s="243"/>
      <c r="J87" s="243"/>
      <c r="K87" s="243"/>
      <c r="L87" s="243">
        <v>4402</v>
      </c>
      <c r="M87" s="243">
        <v>6994</v>
      </c>
      <c r="N87" s="243">
        <v>8021</v>
      </c>
      <c r="O87" s="243">
        <v>9508</v>
      </c>
      <c r="P87" s="243">
        <v>8815.7099999999991</v>
      </c>
      <c r="Q87" s="243">
        <v>11718.97</v>
      </c>
      <c r="R87" s="243">
        <v>11666.41</v>
      </c>
      <c r="S87" s="243">
        <v>11306.04</v>
      </c>
      <c r="T87" s="243">
        <v>10537.2</v>
      </c>
      <c r="U87" s="264">
        <v>11531.81</v>
      </c>
      <c r="Y87" s="264"/>
    </row>
    <row r="88" spans="2:25" ht="15.6" x14ac:dyDescent="0.3">
      <c r="B88" s="353" t="s">
        <v>224</v>
      </c>
      <c r="C88" s="319" t="s">
        <v>168</v>
      </c>
      <c r="D88" s="243"/>
      <c r="E88" s="243"/>
      <c r="F88" s="243"/>
      <c r="G88" s="243"/>
      <c r="H88" s="243"/>
      <c r="I88" s="243"/>
      <c r="J88" s="243"/>
      <c r="K88" s="243"/>
      <c r="L88" s="243">
        <v>375</v>
      </c>
      <c r="M88" s="243">
        <v>558</v>
      </c>
      <c r="N88" s="243">
        <v>709</v>
      </c>
      <c r="O88" s="243">
        <v>859</v>
      </c>
      <c r="P88" s="243">
        <v>894</v>
      </c>
      <c r="Q88" s="243"/>
      <c r="R88" s="243"/>
      <c r="S88" s="243"/>
      <c r="T88" s="243"/>
      <c r="Y88" s="264"/>
    </row>
    <row r="89" spans="2:25" ht="15.6" x14ac:dyDescent="0.3">
      <c r="B89" s="353" t="s">
        <v>207</v>
      </c>
      <c r="C89" s="319" t="s">
        <v>168</v>
      </c>
      <c r="D89" s="243"/>
      <c r="E89" s="243"/>
      <c r="F89" s="243"/>
      <c r="G89" s="243"/>
      <c r="H89" s="243"/>
      <c r="I89" s="243"/>
      <c r="J89" s="243"/>
      <c r="K89" s="243"/>
      <c r="L89" s="289">
        <v>369391</v>
      </c>
      <c r="M89" s="289"/>
      <c r="N89" s="289"/>
      <c r="O89" s="289"/>
      <c r="P89" s="289"/>
      <c r="Q89" s="289"/>
      <c r="R89" s="289"/>
      <c r="S89" s="289"/>
      <c r="T89" s="289"/>
      <c r="Y89" s="264"/>
    </row>
    <row r="90" spans="2:25" ht="15.6" x14ac:dyDescent="0.3">
      <c r="B90" s="354" t="s">
        <v>223</v>
      </c>
      <c r="C90" s="321" t="s">
        <v>169</v>
      </c>
      <c r="D90" s="348"/>
      <c r="E90" s="348"/>
      <c r="F90" s="348"/>
      <c r="G90" s="348"/>
      <c r="H90" s="348"/>
      <c r="I90" s="348"/>
      <c r="J90" s="348"/>
      <c r="K90" s="348"/>
      <c r="L90" s="348">
        <v>425.8</v>
      </c>
      <c r="M90" s="348">
        <v>614</v>
      </c>
      <c r="N90" s="348">
        <v>696</v>
      </c>
      <c r="O90" s="348">
        <v>864</v>
      </c>
      <c r="P90" s="348">
        <v>842.9</v>
      </c>
      <c r="Q90" s="348">
        <v>944.15</v>
      </c>
      <c r="R90" s="348">
        <v>1066</v>
      </c>
      <c r="S90" s="348">
        <v>934.32</v>
      </c>
      <c r="T90" s="348">
        <v>900</v>
      </c>
      <c r="U90" s="348">
        <v>968.84</v>
      </c>
      <c r="Y90" s="264"/>
    </row>
    <row r="91" spans="2:25" ht="15.6" x14ac:dyDescent="0.3">
      <c r="B91" s="354" t="s">
        <v>224</v>
      </c>
      <c r="C91" s="321" t="s">
        <v>169</v>
      </c>
      <c r="D91" s="348"/>
      <c r="E91" s="348"/>
      <c r="F91" s="348"/>
      <c r="G91" s="348"/>
      <c r="H91" s="348"/>
      <c r="I91" s="348"/>
      <c r="J91" s="348"/>
      <c r="K91" s="348"/>
      <c r="L91" s="348">
        <v>37</v>
      </c>
      <c r="M91" s="348">
        <v>52</v>
      </c>
      <c r="N91" s="348">
        <v>54</v>
      </c>
      <c r="O91" s="348">
        <v>63</v>
      </c>
      <c r="P91" s="348">
        <v>63</v>
      </c>
      <c r="Q91" s="348"/>
      <c r="R91" s="348"/>
      <c r="S91" s="348"/>
      <c r="T91" s="348"/>
      <c r="Y91" s="264"/>
    </row>
    <row r="92" spans="2:25" ht="15.6" x14ac:dyDescent="0.3">
      <c r="B92" s="354" t="s">
        <v>207</v>
      </c>
      <c r="C92" s="321" t="s">
        <v>169</v>
      </c>
      <c r="D92" s="348"/>
      <c r="E92" s="348"/>
      <c r="F92" s="348"/>
      <c r="G92" s="348"/>
      <c r="H92" s="348"/>
      <c r="I92" s="348"/>
      <c r="J92" s="348"/>
      <c r="K92" s="348"/>
      <c r="L92" s="322">
        <v>65212</v>
      </c>
      <c r="M92" s="322"/>
      <c r="N92" s="322"/>
      <c r="O92" s="322"/>
      <c r="P92" s="322"/>
      <c r="Q92" s="322"/>
      <c r="R92" s="322"/>
      <c r="S92" s="322"/>
      <c r="T92" s="322"/>
      <c r="Y92" s="264"/>
    </row>
    <row r="93" spans="2:25" ht="15.6" x14ac:dyDescent="0.3">
      <c r="B93" s="353" t="s">
        <v>223</v>
      </c>
      <c r="C93" s="319" t="s">
        <v>170</v>
      </c>
      <c r="D93" s="243"/>
      <c r="E93" s="243"/>
      <c r="F93" s="243"/>
      <c r="G93" s="243"/>
      <c r="H93" s="243"/>
      <c r="I93" s="243"/>
      <c r="J93" s="243"/>
      <c r="K93" s="243"/>
      <c r="L93" s="243">
        <v>0</v>
      </c>
      <c r="M93" s="243"/>
      <c r="N93" s="243"/>
      <c r="O93" s="243"/>
      <c r="P93" s="243"/>
      <c r="Q93" s="243"/>
      <c r="R93" s="243"/>
      <c r="S93" s="243">
        <v>0</v>
      </c>
      <c r="T93" s="243"/>
      <c r="Y93" s="264"/>
    </row>
    <row r="94" spans="2:25" ht="15.6" x14ac:dyDescent="0.3">
      <c r="B94" s="353" t="s">
        <v>224</v>
      </c>
      <c r="C94" s="319" t="s">
        <v>170</v>
      </c>
      <c r="D94" s="243"/>
      <c r="E94" s="243"/>
      <c r="F94" s="243"/>
      <c r="G94" s="243"/>
      <c r="H94" s="243"/>
      <c r="I94" s="243"/>
      <c r="J94" s="243"/>
      <c r="K94" s="243"/>
      <c r="L94" s="243">
        <v>0</v>
      </c>
      <c r="M94" s="243"/>
      <c r="N94" s="243"/>
      <c r="O94" s="243"/>
      <c r="P94" s="243"/>
      <c r="Q94" s="243"/>
      <c r="R94" s="243"/>
      <c r="S94" s="243"/>
      <c r="T94" s="243"/>
      <c r="Y94" s="264"/>
    </row>
    <row r="95" spans="2:25" ht="15.6" x14ac:dyDescent="0.3">
      <c r="B95" s="353" t="s">
        <v>207</v>
      </c>
      <c r="C95" s="319" t="s">
        <v>170</v>
      </c>
      <c r="D95" s="243"/>
      <c r="E95" s="243"/>
      <c r="F95" s="243"/>
      <c r="G95" s="243"/>
      <c r="H95" s="243"/>
      <c r="I95" s="243"/>
      <c r="J95" s="243"/>
      <c r="K95" s="243"/>
      <c r="L95" s="289">
        <v>3307</v>
      </c>
      <c r="M95" s="289"/>
      <c r="N95" s="289"/>
      <c r="O95" s="289"/>
      <c r="P95" s="289"/>
      <c r="Q95" s="289"/>
      <c r="R95" s="289"/>
      <c r="S95" s="289"/>
      <c r="T95" s="289"/>
      <c r="Y95" s="264"/>
    </row>
    <row r="96" spans="2:25" ht="15.6" x14ac:dyDescent="0.3">
      <c r="B96" s="354" t="s">
        <v>223</v>
      </c>
      <c r="C96" s="321" t="s">
        <v>171</v>
      </c>
      <c r="D96" s="348"/>
      <c r="E96" s="348"/>
      <c r="F96" s="348"/>
      <c r="G96" s="348"/>
      <c r="H96" s="348"/>
      <c r="I96" s="348"/>
      <c r="J96" s="348"/>
      <c r="K96" s="348"/>
      <c r="L96" s="348">
        <v>272.39999999999998</v>
      </c>
      <c r="M96" s="348">
        <v>595</v>
      </c>
      <c r="N96" s="348">
        <v>625</v>
      </c>
      <c r="O96" s="348">
        <v>617</v>
      </c>
      <c r="P96" s="348">
        <v>950.69</v>
      </c>
      <c r="Q96" s="348">
        <v>1465.03</v>
      </c>
      <c r="R96" s="348">
        <v>1928.1</v>
      </c>
      <c r="S96" s="348">
        <v>1468.41</v>
      </c>
      <c r="T96" s="348">
        <v>1240.2</v>
      </c>
      <c r="U96" s="348">
        <v>1543.84</v>
      </c>
      <c r="Y96" s="264"/>
    </row>
    <row r="97" spans="2:25" ht="15.6" x14ac:dyDescent="0.3">
      <c r="B97" s="354" t="s">
        <v>224</v>
      </c>
      <c r="C97" s="321" t="s">
        <v>171</v>
      </c>
      <c r="D97" s="348"/>
      <c r="E97" s="348"/>
      <c r="F97" s="348"/>
      <c r="G97" s="348"/>
      <c r="H97" s="348"/>
      <c r="I97" s="348"/>
      <c r="J97" s="348"/>
      <c r="K97" s="348"/>
      <c r="L97" s="348">
        <v>23</v>
      </c>
      <c r="M97" s="348">
        <v>50</v>
      </c>
      <c r="N97" s="348">
        <v>49</v>
      </c>
      <c r="O97" s="348">
        <v>50</v>
      </c>
      <c r="P97" s="348">
        <v>77</v>
      </c>
      <c r="Q97" s="348"/>
      <c r="R97" s="348"/>
      <c r="S97" s="348"/>
      <c r="T97" s="348"/>
      <c r="Y97" s="264"/>
    </row>
    <row r="98" spans="2:25" ht="15.6" x14ac:dyDescent="0.3">
      <c r="B98" s="354" t="s">
        <v>207</v>
      </c>
      <c r="C98" s="321" t="s">
        <v>171</v>
      </c>
      <c r="D98" s="348"/>
      <c r="E98" s="348"/>
      <c r="F98" s="348"/>
      <c r="G98" s="348"/>
      <c r="H98" s="348"/>
      <c r="I98" s="348"/>
      <c r="J98" s="348"/>
      <c r="K98" s="348"/>
      <c r="L98" s="322">
        <v>59764</v>
      </c>
      <c r="M98" s="322"/>
      <c r="N98" s="322"/>
      <c r="O98" s="322"/>
      <c r="P98" s="322"/>
      <c r="Q98" s="322"/>
      <c r="R98" s="322"/>
      <c r="S98" s="322"/>
      <c r="T98" s="322"/>
      <c r="Y98" s="264"/>
    </row>
    <row r="99" spans="2:25" ht="15.6" x14ac:dyDescent="0.3">
      <c r="B99" s="353" t="s">
        <v>223</v>
      </c>
      <c r="C99" s="319" t="s">
        <v>172</v>
      </c>
      <c r="D99" s="243"/>
      <c r="E99" s="243"/>
      <c r="F99" s="243"/>
      <c r="G99" s="243"/>
      <c r="H99" s="243"/>
      <c r="I99" s="243"/>
      <c r="J99" s="243"/>
      <c r="K99" s="243"/>
      <c r="L99" s="243">
        <v>973.2</v>
      </c>
      <c r="M99" s="243">
        <v>1769</v>
      </c>
      <c r="N99" s="243">
        <v>2427</v>
      </c>
      <c r="O99" s="243">
        <v>3147</v>
      </c>
      <c r="P99" s="243">
        <v>3802.86</v>
      </c>
      <c r="Q99" s="243">
        <v>4826.76</v>
      </c>
      <c r="R99" s="243">
        <v>5033.4399999999996</v>
      </c>
      <c r="S99" s="243">
        <v>4667.7299999999996</v>
      </c>
      <c r="T99" s="243">
        <v>4135.3999999999996</v>
      </c>
      <c r="U99" s="264">
        <v>3882.82</v>
      </c>
      <c r="Y99" s="264"/>
    </row>
    <row r="100" spans="2:25" ht="15.6" x14ac:dyDescent="0.3">
      <c r="B100" s="353" t="s">
        <v>224</v>
      </c>
      <c r="C100" s="319" t="s">
        <v>172</v>
      </c>
      <c r="D100" s="243"/>
      <c r="E100" s="243"/>
      <c r="F100" s="243"/>
      <c r="G100" s="243"/>
      <c r="H100" s="243"/>
      <c r="I100" s="243"/>
      <c r="J100" s="243"/>
      <c r="K100" s="243"/>
      <c r="L100" s="243">
        <v>90</v>
      </c>
      <c r="M100" s="243">
        <v>147</v>
      </c>
      <c r="N100" s="243">
        <v>186</v>
      </c>
      <c r="O100" s="243">
        <v>272</v>
      </c>
      <c r="P100" s="243">
        <v>351</v>
      </c>
      <c r="Q100" s="243"/>
      <c r="R100" s="243"/>
      <c r="S100" s="243"/>
      <c r="T100" s="243"/>
      <c r="Y100" s="264"/>
    </row>
    <row r="101" spans="2:25" ht="15.6" x14ac:dyDescent="0.3">
      <c r="B101" s="353" t="s">
        <v>207</v>
      </c>
      <c r="C101" s="319" t="s">
        <v>172</v>
      </c>
      <c r="D101" s="243"/>
      <c r="E101" s="243"/>
      <c r="F101" s="243"/>
      <c r="G101" s="243"/>
      <c r="H101" s="243"/>
      <c r="I101" s="243"/>
      <c r="J101" s="243"/>
      <c r="K101" s="243"/>
      <c r="L101" s="289">
        <v>180842</v>
      </c>
      <c r="M101" s="289"/>
      <c r="N101" s="289"/>
      <c r="O101" s="289"/>
      <c r="P101" s="289"/>
      <c r="Q101" s="289"/>
      <c r="R101" s="289"/>
      <c r="S101" s="289"/>
      <c r="T101" s="289"/>
      <c r="Y101" s="264"/>
    </row>
    <row r="102" spans="2:25" ht="15.6" x14ac:dyDescent="0.3">
      <c r="B102" s="354" t="s">
        <v>223</v>
      </c>
      <c r="C102" s="321" t="s">
        <v>235</v>
      </c>
      <c r="D102" s="348"/>
      <c r="E102" s="348"/>
      <c r="F102" s="348"/>
      <c r="G102" s="348"/>
      <c r="H102" s="348"/>
      <c r="I102" s="348"/>
      <c r="J102" s="348"/>
      <c r="K102" s="348"/>
      <c r="L102" s="348">
        <v>246</v>
      </c>
      <c r="M102" s="348">
        <v>326</v>
      </c>
      <c r="N102" s="348">
        <v>585</v>
      </c>
      <c r="O102" s="348">
        <v>588</v>
      </c>
      <c r="P102" s="348">
        <v>827.78</v>
      </c>
      <c r="Q102" s="348">
        <v>822.4</v>
      </c>
      <c r="R102" s="348">
        <v>1063.81</v>
      </c>
      <c r="S102" s="348">
        <v>1018.3</v>
      </c>
      <c r="T102" s="348">
        <v>844.8</v>
      </c>
      <c r="U102" s="348">
        <v>847.11</v>
      </c>
      <c r="Y102" s="264"/>
    </row>
    <row r="103" spans="2:25" ht="15.6" x14ac:dyDescent="0.3">
      <c r="B103" s="354" t="s">
        <v>224</v>
      </c>
      <c r="C103" s="321" t="s">
        <v>235</v>
      </c>
      <c r="D103" s="348"/>
      <c r="E103" s="348"/>
      <c r="F103" s="348"/>
      <c r="G103" s="348"/>
      <c r="H103" s="348"/>
      <c r="I103" s="348"/>
      <c r="J103" s="348"/>
      <c r="K103" s="348"/>
      <c r="L103" s="348">
        <v>26</v>
      </c>
      <c r="M103" s="348">
        <v>29</v>
      </c>
      <c r="N103" s="348">
        <v>53</v>
      </c>
      <c r="O103" s="348">
        <v>5</v>
      </c>
      <c r="P103" s="348">
        <v>69</v>
      </c>
      <c r="Q103" s="348"/>
      <c r="R103" s="348"/>
      <c r="S103" s="348"/>
      <c r="T103" s="348"/>
      <c r="Y103" s="264"/>
    </row>
    <row r="104" spans="2:25" ht="15.6" x14ac:dyDescent="0.3">
      <c r="B104" s="354" t="s">
        <v>207</v>
      </c>
      <c r="C104" s="321" t="s">
        <v>235</v>
      </c>
      <c r="D104" s="348"/>
      <c r="E104" s="348"/>
      <c r="F104" s="348"/>
      <c r="G104" s="348"/>
      <c r="H104" s="348"/>
      <c r="I104" s="348"/>
      <c r="J104" s="348"/>
      <c r="K104" s="348"/>
      <c r="L104" s="322">
        <v>54057</v>
      </c>
      <c r="M104" s="322"/>
      <c r="N104" s="322"/>
      <c r="O104" s="322"/>
      <c r="P104" s="322"/>
      <c r="Q104" s="322"/>
      <c r="R104" s="322"/>
      <c r="S104" s="322"/>
      <c r="T104" s="322"/>
      <c r="Y104" s="264"/>
    </row>
    <row r="105" spans="2:25" ht="15.6" x14ac:dyDescent="0.3">
      <c r="B105" s="353" t="s">
        <v>223</v>
      </c>
      <c r="C105" s="326" t="s">
        <v>349</v>
      </c>
      <c r="D105" s="264"/>
      <c r="E105" s="264"/>
      <c r="F105" s="264"/>
      <c r="G105" s="264"/>
      <c r="H105" s="264"/>
      <c r="I105" s="264"/>
      <c r="J105" s="264"/>
      <c r="K105" s="264"/>
      <c r="L105" s="411">
        <v>1107.2</v>
      </c>
      <c r="M105" s="411">
        <v>1419</v>
      </c>
      <c r="N105" s="411">
        <v>1670</v>
      </c>
      <c r="O105" s="411">
        <v>1684</v>
      </c>
      <c r="P105" s="264">
        <v>1433.09</v>
      </c>
      <c r="Q105" s="264">
        <v>1270.05</v>
      </c>
      <c r="R105" s="264">
        <v>1582</v>
      </c>
      <c r="S105" s="264">
        <v>1813.05</v>
      </c>
      <c r="T105" s="264">
        <v>1615.5</v>
      </c>
      <c r="U105" s="264">
        <v>1523.22</v>
      </c>
      <c r="Y105" s="264"/>
    </row>
    <row r="106" spans="2:25" ht="15.6" x14ac:dyDescent="0.3">
      <c r="B106" s="353" t="s">
        <v>224</v>
      </c>
      <c r="C106" s="326" t="s">
        <v>349</v>
      </c>
      <c r="D106" s="264"/>
      <c r="E106" s="264"/>
      <c r="F106" s="264"/>
      <c r="G106" s="264"/>
      <c r="H106" s="264"/>
      <c r="I106" s="264"/>
      <c r="J106" s="264"/>
      <c r="K106" s="264"/>
      <c r="L106" s="411">
        <v>101</v>
      </c>
      <c r="M106" s="411">
        <v>114</v>
      </c>
      <c r="N106" s="411">
        <v>122</v>
      </c>
      <c r="O106" s="411">
        <v>123</v>
      </c>
      <c r="P106" s="272">
        <v>91</v>
      </c>
      <c r="Q106" s="272"/>
      <c r="R106" s="272"/>
      <c r="S106" s="272"/>
      <c r="T106" s="272"/>
      <c r="Y106" s="264"/>
    </row>
    <row r="107" spans="2:25" s="6" customFormat="1" ht="15.6" x14ac:dyDescent="0.3">
      <c r="B107" s="353" t="s">
        <v>207</v>
      </c>
      <c r="C107" s="326" t="s">
        <v>349</v>
      </c>
      <c r="D107" s="264"/>
      <c r="E107" s="264"/>
      <c r="F107" s="264"/>
      <c r="G107" s="264"/>
      <c r="H107" s="264"/>
      <c r="I107" s="264"/>
      <c r="J107" s="264"/>
      <c r="K107" s="264"/>
      <c r="L107" s="412">
        <v>110075</v>
      </c>
      <c r="M107" s="412"/>
      <c r="N107" s="412"/>
      <c r="O107" s="412"/>
      <c r="P107" s="272"/>
      <c r="Q107" s="272"/>
      <c r="R107" s="272"/>
      <c r="S107" s="272"/>
      <c r="T107" s="272"/>
      <c r="Y107" s="264"/>
    </row>
    <row r="108" spans="2:25" ht="15.6" x14ac:dyDescent="0.3">
      <c r="B108" s="354" t="s">
        <v>223</v>
      </c>
      <c r="C108" s="321" t="s">
        <v>175</v>
      </c>
      <c r="D108" s="348"/>
      <c r="E108" s="348"/>
      <c r="F108" s="348"/>
      <c r="G108" s="348"/>
      <c r="H108" s="348"/>
      <c r="I108" s="348"/>
      <c r="J108" s="348"/>
      <c r="K108" s="348"/>
      <c r="L108" s="348">
        <v>822</v>
      </c>
      <c r="M108" s="348">
        <v>1118</v>
      </c>
      <c r="N108" s="348">
        <v>1488</v>
      </c>
      <c r="O108" s="348">
        <v>1306</v>
      </c>
      <c r="P108" s="348">
        <v>1630.6</v>
      </c>
      <c r="Q108" s="348">
        <v>2372.14</v>
      </c>
      <c r="R108" s="348">
        <v>2239.6999999999998</v>
      </c>
      <c r="S108" s="348">
        <v>2611.4299999999998</v>
      </c>
      <c r="T108" s="348">
        <v>1957.4</v>
      </c>
      <c r="U108" s="348">
        <v>2005.54</v>
      </c>
      <c r="Y108" s="264"/>
    </row>
    <row r="109" spans="2:25" ht="15.6" x14ac:dyDescent="0.3">
      <c r="B109" s="354" t="s">
        <v>224</v>
      </c>
      <c r="C109" s="321" t="s">
        <v>175</v>
      </c>
      <c r="D109" s="348"/>
      <c r="E109" s="348"/>
      <c r="F109" s="348"/>
      <c r="G109" s="348"/>
      <c r="H109" s="348"/>
      <c r="I109" s="348"/>
      <c r="J109" s="348"/>
      <c r="K109" s="348"/>
      <c r="L109" s="348">
        <v>64</v>
      </c>
      <c r="M109" s="348">
        <v>88</v>
      </c>
      <c r="N109" s="348">
        <v>105</v>
      </c>
      <c r="O109" s="348">
        <v>96</v>
      </c>
      <c r="P109" s="348">
        <v>133</v>
      </c>
      <c r="Q109" s="348"/>
      <c r="R109" s="348"/>
      <c r="S109" s="348"/>
      <c r="T109" s="348"/>
    </row>
    <row r="110" spans="2:25" ht="15.6" x14ac:dyDescent="0.3">
      <c r="B110" s="354" t="s">
        <v>207</v>
      </c>
      <c r="C110" s="321" t="s">
        <v>175</v>
      </c>
      <c r="D110" s="348"/>
      <c r="E110" s="348"/>
      <c r="F110" s="348"/>
      <c r="G110" s="348"/>
      <c r="H110" s="348"/>
      <c r="I110" s="348"/>
      <c r="J110" s="348"/>
      <c r="K110" s="348"/>
      <c r="L110" s="322">
        <v>83053</v>
      </c>
      <c r="M110" s="322"/>
      <c r="N110" s="322"/>
      <c r="O110" s="322"/>
      <c r="P110" s="322"/>
      <c r="Q110" s="322"/>
      <c r="R110" s="322"/>
      <c r="S110" s="322"/>
      <c r="T110" s="322"/>
    </row>
    <row r="111" spans="2:25" ht="15.6" x14ac:dyDescent="0.3">
      <c r="B111" s="353" t="s">
        <v>223</v>
      </c>
      <c r="C111" s="319" t="s">
        <v>176</v>
      </c>
      <c r="D111" s="243"/>
      <c r="E111" s="264"/>
      <c r="F111" s="243"/>
      <c r="G111" s="243"/>
      <c r="H111" s="243"/>
      <c r="I111" s="243"/>
      <c r="J111" s="243"/>
      <c r="K111" s="243"/>
      <c r="L111" s="243">
        <v>406.4</v>
      </c>
      <c r="M111" s="243">
        <v>472</v>
      </c>
      <c r="N111" s="243">
        <v>537</v>
      </c>
      <c r="O111" s="243">
        <v>901</v>
      </c>
      <c r="P111" s="243">
        <v>769.87</v>
      </c>
      <c r="Q111" s="243">
        <v>750.1</v>
      </c>
      <c r="R111" s="243">
        <v>863.1</v>
      </c>
      <c r="S111" s="243">
        <v>1129.9000000000001</v>
      </c>
      <c r="T111" s="243">
        <v>852.2</v>
      </c>
      <c r="U111" s="264">
        <v>900.03</v>
      </c>
    </row>
    <row r="112" spans="2:25" ht="15.6" x14ac:dyDescent="0.3">
      <c r="B112" s="353" t="s">
        <v>224</v>
      </c>
      <c r="C112" s="319" t="s">
        <v>176</v>
      </c>
      <c r="D112" s="243"/>
      <c r="E112" s="243"/>
      <c r="F112" s="243"/>
      <c r="G112" s="243"/>
      <c r="H112" s="243"/>
      <c r="I112" s="243"/>
      <c r="J112" s="243"/>
      <c r="K112" s="243"/>
      <c r="L112" s="243">
        <v>32</v>
      </c>
      <c r="M112" s="243">
        <v>35</v>
      </c>
      <c r="N112" s="243">
        <v>37</v>
      </c>
      <c r="O112" s="243">
        <v>70</v>
      </c>
      <c r="P112" s="243">
        <v>55</v>
      </c>
      <c r="Q112" s="243"/>
      <c r="R112" s="243"/>
      <c r="S112" s="243"/>
      <c r="T112" s="243"/>
    </row>
    <row r="113" spans="2:21" ht="15.6" x14ac:dyDescent="0.3">
      <c r="B113" s="353" t="s">
        <v>207</v>
      </c>
      <c r="C113" s="319" t="s">
        <v>176</v>
      </c>
      <c r="D113" s="243"/>
      <c r="E113" s="243"/>
      <c r="F113" s="243"/>
      <c r="G113" s="243"/>
      <c r="H113" s="243"/>
      <c r="I113" s="243"/>
      <c r="J113" s="243"/>
      <c r="K113" s="243"/>
      <c r="L113" s="289">
        <v>58676</v>
      </c>
      <c r="M113" s="289"/>
      <c r="N113" s="289"/>
      <c r="O113" s="289"/>
      <c r="P113" s="289"/>
      <c r="Q113" s="289"/>
      <c r="R113" s="289"/>
      <c r="S113" s="289"/>
      <c r="T113" s="289"/>
    </row>
    <row r="114" spans="2:21" ht="15.6" x14ac:dyDescent="0.3">
      <c r="B114" s="354" t="s">
        <v>223</v>
      </c>
      <c r="C114" s="321" t="s">
        <v>178</v>
      </c>
      <c r="D114" s="348"/>
      <c r="E114" s="348"/>
      <c r="F114" s="348"/>
      <c r="G114" s="348"/>
      <c r="H114" s="348"/>
      <c r="I114" s="348"/>
      <c r="J114" s="348"/>
      <c r="K114" s="348"/>
      <c r="L114" s="348">
        <v>2006.2</v>
      </c>
      <c r="M114" s="348">
        <v>2934</v>
      </c>
      <c r="N114" s="348">
        <v>3422</v>
      </c>
      <c r="O114" s="348">
        <v>4233</v>
      </c>
      <c r="P114" s="348">
        <v>5652.41</v>
      </c>
      <c r="Q114" s="348">
        <v>6121.1</v>
      </c>
      <c r="R114" s="348">
        <v>6546.11</v>
      </c>
      <c r="S114" s="348">
        <v>5446.05</v>
      </c>
      <c r="T114" s="348">
        <v>4893.3999999999996</v>
      </c>
      <c r="U114" s="348">
        <v>5020.41</v>
      </c>
    </row>
    <row r="115" spans="2:21" ht="15.6" x14ac:dyDescent="0.3">
      <c r="B115" s="354" t="s">
        <v>224</v>
      </c>
      <c r="C115" s="321" t="s">
        <v>178</v>
      </c>
      <c r="D115" s="348"/>
      <c r="E115" s="348"/>
      <c r="F115" s="348"/>
      <c r="G115" s="348"/>
      <c r="H115" s="348"/>
      <c r="I115" s="348"/>
      <c r="J115" s="348"/>
      <c r="K115" s="348"/>
      <c r="L115" s="348">
        <v>178</v>
      </c>
      <c r="M115" s="348">
        <v>220</v>
      </c>
      <c r="N115" s="348">
        <v>263</v>
      </c>
      <c r="O115" s="348">
        <v>341</v>
      </c>
      <c r="P115" s="348">
        <v>482</v>
      </c>
      <c r="Q115" s="348"/>
      <c r="R115" s="348"/>
      <c r="S115" s="348"/>
      <c r="T115" s="348"/>
    </row>
    <row r="116" spans="2:21" ht="15.6" x14ac:dyDescent="0.3">
      <c r="B116" s="354" t="s">
        <v>207</v>
      </c>
      <c r="C116" s="321" t="s">
        <v>178</v>
      </c>
      <c r="D116" s="348"/>
      <c r="E116" s="348"/>
      <c r="F116" s="348"/>
      <c r="G116" s="348"/>
      <c r="H116" s="348"/>
      <c r="I116" s="348"/>
      <c r="J116" s="348"/>
      <c r="K116" s="348"/>
      <c r="L116" s="322">
        <v>279486</v>
      </c>
      <c r="M116" s="322"/>
      <c r="N116" s="322"/>
      <c r="O116" s="322"/>
      <c r="P116" s="322"/>
      <c r="Q116" s="322"/>
      <c r="R116" s="322"/>
      <c r="S116" s="322"/>
      <c r="T116" s="322"/>
    </row>
    <row r="117" spans="2:21" ht="15.6" x14ac:dyDescent="0.3">
      <c r="B117" s="353" t="s">
        <v>223</v>
      </c>
      <c r="C117" s="319" t="s">
        <v>237</v>
      </c>
      <c r="D117" s="243"/>
      <c r="E117" s="243"/>
      <c r="F117" s="243"/>
      <c r="G117" s="243"/>
      <c r="H117" s="243"/>
      <c r="I117" s="243"/>
      <c r="J117" s="243"/>
      <c r="K117" s="243"/>
      <c r="L117" s="243">
        <v>504</v>
      </c>
      <c r="M117" s="264">
        <v>594</v>
      </c>
      <c r="N117" s="264">
        <v>840</v>
      </c>
      <c r="O117" s="264">
        <v>861</v>
      </c>
      <c r="P117" s="264">
        <v>1031.55</v>
      </c>
      <c r="Q117" s="264">
        <v>1185.3900000000001</v>
      </c>
      <c r="R117" s="264">
        <v>1636.94</v>
      </c>
      <c r="S117" s="264">
        <v>1834.42</v>
      </c>
      <c r="T117" s="264">
        <v>1816.3</v>
      </c>
      <c r="U117" s="264">
        <v>1656.02</v>
      </c>
    </row>
    <row r="118" spans="2:21" ht="15.6" x14ac:dyDescent="0.3">
      <c r="B118" s="353" t="s">
        <v>224</v>
      </c>
      <c r="C118" s="319" t="s">
        <v>237</v>
      </c>
      <c r="D118" s="243"/>
      <c r="E118" s="243"/>
      <c r="F118" s="243"/>
      <c r="G118" s="243"/>
      <c r="H118" s="243"/>
      <c r="I118" s="243"/>
      <c r="J118" s="243"/>
      <c r="K118" s="243"/>
      <c r="L118" s="243">
        <v>42</v>
      </c>
      <c r="M118" s="264">
        <v>44</v>
      </c>
      <c r="N118" s="264">
        <v>60</v>
      </c>
      <c r="O118" s="264">
        <v>64</v>
      </c>
      <c r="P118" s="264">
        <v>76</v>
      </c>
      <c r="Q118" s="264"/>
      <c r="R118" s="264"/>
      <c r="S118" s="264"/>
      <c r="T118" s="264"/>
    </row>
    <row r="119" spans="2:21" ht="15.6" x14ac:dyDescent="0.3">
      <c r="B119" s="353" t="s">
        <v>207</v>
      </c>
      <c r="C119" s="319" t="s">
        <v>237</v>
      </c>
      <c r="D119" s="243"/>
      <c r="E119" s="243"/>
      <c r="F119" s="243"/>
      <c r="G119" s="243"/>
      <c r="H119" s="243"/>
      <c r="I119" s="243"/>
      <c r="J119" s="243"/>
      <c r="K119" s="243"/>
      <c r="L119" s="289">
        <v>97117</v>
      </c>
      <c r="M119" s="264"/>
      <c r="N119" s="264"/>
      <c r="O119" s="264"/>
      <c r="P119" s="264"/>
      <c r="Q119" s="264"/>
      <c r="R119" s="264"/>
      <c r="S119" s="264"/>
      <c r="T119" s="264"/>
    </row>
    <row r="120" spans="2:21" ht="15.6" x14ac:dyDescent="0.3">
      <c r="B120" s="353" t="s">
        <v>223</v>
      </c>
      <c r="C120" s="319" t="s">
        <v>238</v>
      </c>
      <c r="D120" s="243"/>
      <c r="E120" s="243"/>
      <c r="F120" s="243"/>
      <c r="G120" s="243"/>
      <c r="H120" s="243"/>
      <c r="I120" s="243"/>
      <c r="J120" s="243"/>
      <c r="K120" s="243"/>
      <c r="L120" s="243">
        <v>141.4</v>
      </c>
      <c r="M120" s="264">
        <v>77</v>
      </c>
      <c r="N120" s="264">
        <v>81</v>
      </c>
      <c r="O120" s="264">
        <v>298</v>
      </c>
      <c r="P120" s="264">
        <v>305.7</v>
      </c>
      <c r="Q120" s="264">
        <v>421.11</v>
      </c>
      <c r="R120" s="264">
        <v>826.11</v>
      </c>
      <c r="S120" s="264">
        <v>790.67</v>
      </c>
      <c r="T120" s="264">
        <v>658</v>
      </c>
      <c r="U120" s="264">
        <v>784</v>
      </c>
    </row>
    <row r="121" spans="2:21" ht="15.6" x14ac:dyDescent="0.3">
      <c r="B121" s="353" t="s">
        <v>224</v>
      </c>
      <c r="C121" s="319" t="s">
        <v>238</v>
      </c>
      <c r="D121" s="243"/>
      <c r="E121" s="243"/>
      <c r="F121" s="243"/>
      <c r="G121" s="243"/>
      <c r="H121" s="243"/>
      <c r="I121" s="243"/>
      <c r="J121" s="243"/>
      <c r="K121" s="243"/>
      <c r="L121" s="243">
        <v>10</v>
      </c>
      <c r="M121" s="264">
        <v>6</v>
      </c>
      <c r="N121" s="264">
        <v>5</v>
      </c>
      <c r="O121" s="264">
        <v>28</v>
      </c>
      <c r="P121" s="264">
        <v>31</v>
      </c>
      <c r="Q121" s="264"/>
      <c r="R121" s="264"/>
      <c r="S121" s="264"/>
      <c r="T121" s="264"/>
    </row>
    <row r="122" spans="2:21" ht="15.6" x14ac:dyDescent="0.3">
      <c r="B122" s="353" t="s">
        <v>207</v>
      </c>
      <c r="C122" s="319" t="s">
        <v>238</v>
      </c>
      <c r="D122" s="243"/>
      <c r="E122" s="243"/>
      <c r="F122" s="243"/>
      <c r="G122" s="243"/>
      <c r="H122" s="243"/>
      <c r="I122" s="243"/>
      <c r="J122" s="243"/>
      <c r="K122" s="243"/>
      <c r="L122" s="289">
        <v>40558</v>
      </c>
      <c r="M122" s="264"/>
      <c r="N122" s="264"/>
      <c r="O122" s="264"/>
      <c r="P122" s="264"/>
      <c r="Q122" s="264"/>
      <c r="R122" s="264"/>
      <c r="S122" s="264"/>
      <c r="T122" s="264"/>
    </row>
    <row r="123" spans="2:21" ht="15.6" x14ac:dyDescent="0.3">
      <c r="B123" s="354" t="s">
        <v>223</v>
      </c>
      <c r="C123" s="357" t="s">
        <v>239</v>
      </c>
      <c r="D123" s="358"/>
      <c r="E123" s="358"/>
      <c r="F123" s="358"/>
      <c r="G123" s="358"/>
      <c r="H123" s="358"/>
      <c r="I123" s="358"/>
      <c r="J123" s="358"/>
      <c r="K123" s="358"/>
      <c r="L123" s="358">
        <v>286.8</v>
      </c>
      <c r="M123" s="358">
        <v>425</v>
      </c>
      <c r="N123" s="358">
        <v>589</v>
      </c>
      <c r="O123" s="358">
        <v>506</v>
      </c>
      <c r="P123" s="358">
        <v>395.11</v>
      </c>
      <c r="Q123" s="358">
        <v>631.1</v>
      </c>
      <c r="R123" s="358">
        <v>770.6</v>
      </c>
      <c r="S123" s="358">
        <v>778.3</v>
      </c>
      <c r="T123" s="358">
        <v>828.8</v>
      </c>
      <c r="U123" s="358">
        <v>690.62</v>
      </c>
    </row>
    <row r="124" spans="2:21" ht="15.6" x14ac:dyDescent="0.3">
      <c r="B124" s="354" t="s">
        <v>224</v>
      </c>
      <c r="C124" s="357" t="s">
        <v>239</v>
      </c>
      <c r="D124" s="358"/>
      <c r="E124" s="358"/>
      <c r="F124" s="358"/>
      <c r="G124" s="358"/>
      <c r="H124" s="358"/>
      <c r="I124" s="358"/>
      <c r="J124" s="358"/>
      <c r="K124" s="358"/>
      <c r="L124" s="358">
        <v>24</v>
      </c>
      <c r="M124" s="358">
        <v>36</v>
      </c>
      <c r="N124" s="358">
        <v>47</v>
      </c>
      <c r="O124" s="358">
        <v>41</v>
      </c>
      <c r="P124" s="358">
        <v>33</v>
      </c>
      <c r="Q124" s="358"/>
      <c r="R124" s="358"/>
      <c r="S124" s="358"/>
      <c r="T124" s="358"/>
    </row>
    <row r="125" spans="2:21" ht="15.6" x14ac:dyDescent="0.3">
      <c r="B125" s="354" t="s">
        <v>207</v>
      </c>
      <c r="C125" s="357" t="s">
        <v>239</v>
      </c>
      <c r="D125" s="358"/>
      <c r="E125" s="358"/>
      <c r="F125" s="358"/>
      <c r="G125" s="358"/>
      <c r="H125" s="358"/>
      <c r="I125" s="358"/>
      <c r="J125" s="358"/>
      <c r="K125" s="358"/>
      <c r="L125" s="325">
        <v>32795</v>
      </c>
      <c r="M125" s="358"/>
      <c r="N125" s="358"/>
      <c r="O125" s="358"/>
      <c r="P125" s="358"/>
      <c r="Q125" s="358"/>
      <c r="R125" s="358"/>
      <c r="S125" s="358"/>
      <c r="T125" s="358"/>
    </row>
    <row r="126" spans="2:21" ht="15.6" x14ac:dyDescent="0.3">
      <c r="B126" s="353" t="s">
        <v>223</v>
      </c>
      <c r="C126" s="319" t="s">
        <v>240</v>
      </c>
      <c r="D126" s="243"/>
      <c r="E126" s="243"/>
      <c r="F126" s="243"/>
      <c r="G126" s="243"/>
      <c r="H126" s="243"/>
      <c r="I126" s="243"/>
      <c r="J126" s="243"/>
      <c r="K126" s="243"/>
      <c r="L126" s="243">
        <v>17751.7</v>
      </c>
      <c r="M126" s="264">
        <v>25825</v>
      </c>
      <c r="N126" s="264">
        <v>29791</v>
      </c>
      <c r="O126" s="264">
        <v>32981</v>
      </c>
      <c r="P126" s="264">
        <v>45493.55</v>
      </c>
      <c r="Q126" s="264">
        <v>45075.23</v>
      </c>
      <c r="R126" s="264">
        <v>45066.21</v>
      </c>
      <c r="S126" s="264">
        <v>49472.3</v>
      </c>
      <c r="T126" s="264">
        <v>43317.5</v>
      </c>
      <c r="U126" s="264">
        <v>43931.75</v>
      </c>
    </row>
    <row r="127" spans="2:21" ht="15.6" x14ac:dyDescent="0.3">
      <c r="B127" s="353" t="s">
        <v>224</v>
      </c>
      <c r="C127" s="319" t="s">
        <v>240</v>
      </c>
      <c r="D127" s="243"/>
      <c r="E127" s="243"/>
      <c r="F127" s="243"/>
      <c r="G127" s="243"/>
      <c r="H127" s="243"/>
      <c r="I127" s="243"/>
      <c r="J127" s="243"/>
      <c r="K127" s="243"/>
      <c r="L127" s="243">
        <v>1624</v>
      </c>
      <c r="M127" s="264">
        <v>2077</v>
      </c>
      <c r="N127" s="264">
        <v>2311</v>
      </c>
      <c r="O127" s="264">
        <v>2566</v>
      </c>
      <c r="P127" s="264">
        <v>2985</v>
      </c>
      <c r="Q127" s="264"/>
      <c r="R127" s="264"/>
      <c r="S127" s="264"/>
      <c r="T127" s="264"/>
    </row>
    <row r="128" spans="2:21" ht="15.6" x14ac:dyDescent="0.3">
      <c r="B128" s="353" t="s">
        <v>207</v>
      </c>
      <c r="C128" s="319" t="s">
        <v>240</v>
      </c>
      <c r="D128" s="243"/>
      <c r="E128" s="243"/>
      <c r="F128" s="243"/>
      <c r="G128" s="243"/>
      <c r="H128" s="243"/>
      <c r="I128" s="243"/>
      <c r="J128" s="243"/>
      <c r="K128" s="243"/>
      <c r="L128" s="289">
        <v>2293438</v>
      </c>
      <c r="M128" s="264"/>
      <c r="N128" s="264"/>
      <c r="O128" s="264"/>
      <c r="P128" s="264"/>
      <c r="Q128" s="264"/>
      <c r="R128" s="264"/>
      <c r="S128" s="264"/>
      <c r="T128" s="264"/>
    </row>
    <row r="129" spans="2:22" ht="15.6" x14ac:dyDescent="0.3">
      <c r="B129" s="354" t="s">
        <v>223</v>
      </c>
      <c r="C129" s="357" t="s">
        <v>241</v>
      </c>
      <c r="D129" s="358"/>
      <c r="E129" s="358"/>
      <c r="F129" s="358"/>
      <c r="G129" s="358"/>
      <c r="H129" s="358"/>
      <c r="I129" s="358"/>
      <c r="J129" s="358"/>
      <c r="K129" s="358"/>
      <c r="L129" s="358">
        <v>151.30000000000001</v>
      </c>
      <c r="M129" s="358">
        <v>135</v>
      </c>
      <c r="N129" s="358">
        <v>154</v>
      </c>
      <c r="O129" s="358">
        <v>141</v>
      </c>
      <c r="P129" s="358">
        <v>247.74</v>
      </c>
      <c r="Q129" s="358">
        <v>111.51</v>
      </c>
      <c r="R129" s="358">
        <v>151.6</v>
      </c>
      <c r="S129" s="358">
        <v>194.32</v>
      </c>
      <c r="T129" s="358">
        <v>132.4</v>
      </c>
      <c r="U129" s="358">
        <v>242.3</v>
      </c>
    </row>
    <row r="130" spans="2:22" ht="15.6" x14ac:dyDescent="0.3">
      <c r="B130" s="354" t="s">
        <v>224</v>
      </c>
      <c r="C130" s="357" t="s">
        <v>241</v>
      </c>
      <c r="D130" s="358"/>
      <c r="E130" s="358"/>
      <c r="F130" s="358"/>
      <c r="G130" s="358"/>
      <c r="H130" s="358"/>
      <c r="I130" s="358"/>
      <c r="J130" s="358"/>
      <c r="K130" s="358"/>
      <c r="L130" s="358">
        <v>13</v>
      </c>
      <c r="M130" s="358">
        <v>13</v>
      </c>
      <c r="N130" s="358">
        <v>13</v>
      </c>
      <c r="O130" s="358">
        <v>11</v>
      </c>
      <c r="P130" s="358">
        <v>6</v>
      </c>
      <c r="Q130" s="358"/>
      <c r="R130" s="358"/>
      <c r="S130" s="358"/>
      <c r="T130" s="358"/>
    </row>
    <row r="131" spans="2:22" ht="15.6" x14ac:dyDescent="0.3">
      <c r="B131" s="354" t="s">
        <v>207</v>
      </c>
      <c r="C131" s="357" t="s">
        <v>241</v>
      </c>
      <c r="D131" s="358"/>
      <c r="E131" s="358"/>
      <c r="F131" s="358"/>
      <c r="G131" s="358"/>
      <c r="H131" s="358"/>
      <c r="I131" s="358"/>
      <c r="J131" s="358"/>
      <c r="K131" s="358"/>
      <c r="L131" s="325">
        <v>12008</v>
      </c>
      <c r="M131" s="358"/>
      <c r="N131" s="358"/>
      <c r="O131" s="358"/>
      <c r="P131" s="358"/>
      <c r="Q131" s="358"/>
      <c r="R131" s="358"/>
      <c r="S131" s="358"/>
      <c r="T131" s="358"/>
    </row>
    <row r="132" spans="2:22" ht="15.6" x14ac:dyDescent="0.3">
      <c r="B132" s="353" t="s">
        <v>223</v>
      </c>
      <c r="C132" s="319" t="s">
        <v>183</v>
      </c>
      <c r="D132" s="243"/>
      <c r="E132" s="243"/>
      <c r="F132" s="243"/>
      <c r="G132" s="243"/>
      <c r="H132" s="243"/>
      <c r="I132" s="243"/>
      <c r="J132" s="243"/>
      <c r="K132" s="243"/>
      <c r="L132" s="243">
        <v>1857.8</v>
      </c>
      <c r="M132" s="264">
        <v>1991</v>
      </c>
      <c r="N132" s="264">
        <v>3183</v>
      </c>
      <c r="O132" s="264">
        <v>4254</v>
      </c>
      <c r="P132" s="264">
        <v>4411.13</v>
      </c>
      <c r="Q132" s="264">
        <v>4919.43</v>
      </c>
      <c r="R132" s="264">
        <v>4599.76</v>
      </c>
      <c r="S132" s="264">
        <v>4519.8599999999997</v>
      </c>
      <c r="T132" s="264">
        <v>4072.9</v>
      </c>
      <c r="U132" s="264">
        <v>4707.91</v>
      </c>
    </row>
    <row r="133" spans="2:22" ht="15.6" x14ac:dyDescent="0.3">
      <c r="B133" s="353" t="s">
        <v>224</v>
      </c>
      <c r="C133" s="319" t="s">
        <v>183</v>
      </c>
      <c r="D133" s="243"/>
      <c r="E133" s="243"/>
      <c r="F133" s="243"/>
      <c r="G133" s="243"/>
      <c r="H133" s="243"/>
      <c r="I133" s="243"/>
      <c r="J133" s="243"/>
      <c r="K133" s="243"/>
      <c r="L133" s="243">
        <v>163</v>
      </c>
      <c r="M133" s="264">
        <v>156</v>
      </c>
      <c r="N133" s="264">
        <v>287</v>
      </c>
      <c r="O133" s="264">
        <v>458</v>
      </c>
      <c r="P133" s="264">
        <v>411</v>
      </c>
      <c r="Q133" s="264"/>
      <c r="R133" s="264"/>
      <c r="S133" s="264"/>
      <c r="T133" s="264"/>
    </row>
    <row r="134" spans="2:22" ht="15.6" x14ac:dyDescent="0.3">
      <c r="B134" s="353" t="s">
        <v>207</v>
      </c>
      <c r="C134" s="319" t="s">
        <v>183</v>
      </c>
      <c r="D134" s="243"/>
      <c r="E134" s="243"/>
      <c r="F134" s="243"/>
      <c r="G134" s="243"/>
      <c r="H134" s="243"/>
      <c r="I134" s="243"/>
      <c r="J134" s="243"/>
      <c r="K134" s="243"/>
      <c r="L134" s="289">
        <v>150449</v>
      </c>
      <c r="M134" s="264"/>
      <c r="N134" s="264"/>
      <c r="O134" s="264"/>
      <c r="P134" s="264"/>
      <c r="Q134" s="264"/>
      <c r="R134" s="264"/>
      <c r="S134" s="264"/>
      <c r="T134" s="264"/>
    </row>
    <row r="135" spans="2:22" ht="15.6" x14ac:dyDescent="0.3">
      <c r="B135" s="354" t="s">
        <v>223</v>
      </c>
      <c r="C135" s="357" t="s">
        <v>184</v>
      </c>
      <c r="D135" s="358"/>
      <c r="E135" s="358"/>
      <c r="F135" s="358"/>
      <c r="G135" s="358"/>
      <c r="H135" s="358"/>
      <c r="I135" s="358"/>
      <c r="J135" s="358"/>
      <c r="K135" s="358"/>
      <c r="L135" s="358">
        <v>621.4</v>
      </c>
      <c r="M135" s="358">
        <v>894</v>
      </c>
      <c r="N135" s="358">
        <v>898</v>
      </c>
      <c r="O135" s="358">
        <v>1133</v>
      </c>
      <c r="P135" s="358">
        <v>1427.88</v>
      </c>
      <c r="Q135" s="358">
        <v>1678.63</v>
      </c>
      <c r="R135" s="358">
        <v>1790.22</v>
      </c>
      <c r="S135" s="358">
        <v>2156.31</v>
      </c>
      <c r="T135" s="358">
        <v>1833.4</v>
      </c>
      <c r="U135" s="358">
        <v>1993</v>
      </c>
    </row>
    <row r="136" spans="2:22" ht="15.6" x14ac:dyDescent="0.3">
      <c r="B136" s="354" t="s">
        <v>224</v>
      </c>
      <c r="C136" s="357" t="s">
        <v>184</v>
      </c>
      <c r="D136" s="358"/>
      <c r="E136" s="358"/>
      <c r="F136" s="358"/>
      <c r="G136" s="358"/>
      <c r="H136" s="358"/>
      <c r="I136" s="358"/>
      <c r="J136" s="358"/>
      <c r="K136" s="358"/>
      <c r="L136" s="358">
        <v>56</v>
      </c>
      <c r="M136" s="358">
        <v>72</v>
      </c>
      <c r="N136" s="358">
        <v>66</v>
      </c>
      <c r="O136" s="358">
        <v>82</v>
      </c>
      <c r="P136" s="358">
        <v>109</v>
      </c>
      <c r="Q136" s="358"/>
      <c r="R136" s="358"/>
      <c r="S136" s="358"/>
      <c r="T136" s="358"/>
    </row>
    <row r="137" spans="2:22" ht="15.6" x14ac:dyDescent="0.3">
      <c r="B137" s="354" t="s">
        <v>207</v>
      </c>
      <c r="C137" s="357" t="s">
        <v>184</v>
      </c>
      <c r="D137" s="358"/>
      <c r="E137" s="358"/>
      <c r="F137" s="358"/>
      <c r="G137" s="358"/>
      <c r="H137" s="358"/>
      <c r="I137" s="358"/>
      <c r="J137" s="358"/>
      <c r="K137" s="358"/>
      <c r="L137" s="325">
        <v>84095</v>
      </c>
      <c r="M137" s="358"/>
      <c r="N137" s="358"/>
      <c r="O137" s="358"/>
      <c r="P137" s="358"/>
      <c r="Q137" s="358"/>
      <c r="R137" s="358"/>
      <c r="S137" s="358"/>
      <c r="T137" s="358"/>
      <c r="V137" s="264"/>
    </row>
    <row r="138" spans="2:22" ht="15.6" x14ac:dyDescent="0.3">
      <c r="B138" s="353" t="s">
        <v>223</v>
      </c>
      <c r="C138" s="319" t="s">
        <v>185</v>
      </c>
      <c r="D138" s="243"/>
      <c r="E138" s="243"/>
      <c r="F138" s="243"/>
      <c r="G138" s="243"/>
      <c r="H138" s="243"/>
      <c r="I138" s="243"/>
      <c r="J138" s="243"/>
      <c r="K138" s="243"/>
      <c r="L138" s="243">
        <v>30.8</v>
      </c>
      <c r="M138" s="264">
        <v>74</v>
      </c>
      <c r="N138" s="264">
        <v>68</v>
      </c>
      <c r="O138" s="264">
        <v>67</v>
      </c>
      <c r="P138" s="264">
        <v>114.9</v>
      </c>
      <c r="Q138" s="264">
        <v>33.799999999999997</v>
      </c>
      <c r="R138" s="264"/>
      <c r="S138" s="411"/>
      <c r="T138" s="411"/>
      <c r="U138" s="514"/>
      <c r="V138" s="264"/>
    </row>
    <row r="139" spans="2:22" ht="15.6" x14ac:dyDescent="0.3">
      <c r="B139" s="353" t="s">
        <v>224</v>
      </c>
      <c r="C139" s="319" t="s">
        <v>185</v>
      </c>
      <c r="D139" s="243"/>
      <c r="E139" s="243"/>
      <c r="F139" s="243"/>
      <c r="G139" s="243"/>
      <c r="H139" s="243"/>
      <c r="I139" s="243"/>
      <c r="J139" s="243"/>
      <c r="K139" s="243"/>
      <c r="L139" s="243">
        <v>3</v>
      </c>
      <c r="M139" s="264">
        <v>6</v>
      </c>
      <c r="N139" s="264">
        <v>7</v>
      </c>
      <c r="O139" s="264">
        <v>6</v>
      </c>
      <c r="P139" s="264">
        <v>3</v>
      </c>
      <c r="Q139" s="264"/>
      <c r="R139" s="264"/>
      <c r="S139" s="264"/>
      <c r="T139" s="264"/>
    </row>
    <row r="140" spans="2:22" ht="15.6" x14ac:dyDescent="0.3">
      <c r="B140" s="353" t="s">
        <v>207</v>
      </c>
      <c r="C140" s="319" t="s">
        <v>185</v>
      </c>
      <c r="D140" s="243"/>
      <c r="E140" s="243"/>
      <c r="F140" s="243"/>
      <c r="G140" s="243"/>
      <c r="H140" s="243"/>
      <c r="I140" s="243"/>
      <c r="J140" s="243"/>
      <c r="K140" s="243"/>
      <c r="L140" s="289">
        <v>6334</v>
      </c>
      <c r="M140" s="264"/>
      <c r="N140" s="264"/>
      <c r="O140" s="264"/>
      <c r="P140" s="264"/>
      <c r="Q140" s="264"/>
      <c r="R140" s="264"/>
      <c r="S140" s="264"/>
      <c r="T140" s="264"/>
    </row>
    <row r="141" spans="2:22" ht="15.6" x14ac:dyDescent="0.3">
      <c r="B141" s="354" t="s">
        <v>223</v>
      </c>
      <c r="C141" s="357" t="s">
        <v>242</v>
      </c>
      <c r="D141" s="358"/>
      <c r="E141" s="358"/>
      <c r="F141" s="358"/>
      <c r="G141" s="358"/>
      <c r="H141" s="358"/>
      <c r="I141" s="358"/>
      <c r="J141" s="358"/>
      <c r="K141" s="358"/>
      <c r="L141" s="358">
        <v>850.2</v>
      </c>
      <c r="M141" s="358">
        <v>1020</v>
      </c>
      <c r="N141" s="358">
        <v>943</v>
      </c>
      <c r="O141" s="358">
        <v>1030</v>
      </c>
      <c r="P141" s="358">
        <v>1483.28</v>
      </c>
      <c r="Q141" s="358">
        <v>2090.33</v>
      </c>
      <c r="R141" s="358">
        <v>2270.8000000000002</v>
      </c>
      <c r="S141" s="358">
        <v>2336.2399999999998</v>
      </c>
      <c r="T141" s="358">
        <v>2271.6</v>
      </c>
      <c r="U141" s="358">
        <v>2295.75</v>
      </c>
    </row>
    <row r="142" spans="2:22" ht="15.6" x14ac:dyDescent="0.3">
      <c r="B142" s="354" t="s">
        <v>224</v>
      </c>
      <c r="C142" s="357" t="s">
        <v>242</v>
      </c>
      <c r="D142" s="358"/>
      <c r="E142" s="358"/>
      <c r="F142" s="358"/>
      <c r="G142" s="358"/>
      <c r="H142" s="358"/>
      <c r="I142" s="358"/>
      <c r="J142" s="358"/>
      <c r="K142" s="358"/>
      <c r="L142" s="358">
        <v>73</v>
      </c>
      <c r="M142" s="358">
        <v>83</v>
      </c>
      <c r="N142" s="358">
        <v>71</v>
      </c>
      <c r="O142" s="358">
        <v>79</v>
      </c>
      <c r="P142" s="358">
        <v>113</v>
      </c>
      <c r="Q142" s="358"/>
      <c r="R142" s="358"/>
      <c r="S142" s="358"/>
      <c r="T142" s="358"/>
    </row>
    <row r="143" spans="2:22" ht="15.6" x14ac:dyDescent="0.3">
      <c r="B143" s="354" t="s">
        <v>207</v>
      </c>
      <c r="C143" s="357" t="s">
        <v>242</v>
      </c>
      <c r="D143" s="358"/>
      <c r="E143" s="358"/>
      <c r="F143" s="358"/>
      <c r="G143" s="358"/>
      <c r="H143" s="358"/>
      <c r="I143" s="358"/>
      <c r="J143" s="358"/>
      <c r="K143" s="358"/>
      <c r="L143" s="325">
        <v>85400</v>
      </c>
      <c r="M143" s="358"/>
      <c r="N143" s="358"/>
      <c r="O143" s="358"/>
      <c r="P143" s="358"/>
      <c r="Q143" s="358"/>
      <c r="R143" s="358"/>
      <c r="S143" s="358"/>
      <c r="T143" s="358"/>
    </row>
    <row r="144" spans="2:22" ht="15.6" x14ac:dyDescent="0.3">
      <c r="B144" s="353" t="s">
        <v>223</v>
      </c>
      <c r="C144" s="319" t="s">
        <v>187</v>
      </c>
      <c r="D144" s="243"/>
      <c r="E144" s="243"/>
      <c r="F144" s="243"/>
      <c r="G144" s="243"/>
      <c r="H144" s="243"/>
      <c r="I144" s="243"/>
      <c r="J144" s="243"/>
      <c r="K144" s="243"/>
      <c r="L144" s="243">
        <v>278.2</v>
      </c>
      <c r="M144" s="264">
        <v>309</v>
      </c>
      <c r="N144" s="264">
        <v>264</v>
      </c>
      <c r="O144" s="264">
        <v>460</v>
      </c>
      <c r="P144" s="264">
        <v>1810.8</v>
      </c>
      <c r="Q144" s="264">
        <v>430.9</v>
      </c>
      <c r="R144" s="264">
        <v>279.8</v>
      </c>
      <c r="S144" s="411">
        <v>495.56</v>
      </c>
      <c r="T144" s="411">
        <v>624.6</v>
      </c>
      <c r="U144" s="411">
        <v>779.7</v>
      </c>
    </row>
    <row r="145" spans="2:21" ht="15.6" x14ac:dyDescent="0.3">
      <c r="B145" s="353" t="s">
        <v>224</v>
      </c>
      <c r="C145" s="319" t="s">
        <v>187</v>
      </c>
      <c r="D145" s="243"/>
      <c r="E145" s="243"/>
      <c r="F145" s="243"/>
      <c r="G145" s="243"/>
      <c r="H145" s="243"/>
      <c r="I145" s="243"/>
      <c r="J145" s="243"/>
      <c r="K145" s="243"/>
      <c r="L145" s="243">
        <v>18</v>
      </c>
      <c r="M145" s="264">
        <v>23</v>
      </c>
      <c r="N145" s="264">
        <v>20</v>
      </c>
      <c r="O145" s="264">
        <v>35</v>
      </c>
      <c r="P145" s="264">
        <v>53</v>
      </c>
      <c r="Q145" s="264"/>
      <c r="R145" s="264"/>
      <c r="S145" s="264"/>
      <c r="T145" s="264"/>
    </row>
    <row r="146" spans="2:21" ht="15.6" x14ac:dyDescent="0.3">
      <c r="B146" s="353" t="s">
        <v>207</v>
      </c>
      <c r="C146" s="319" t="s">
        <v>187</v>
      </c>
      <c r="D146" s="243"/>
      <c r="E146" s="243"/>
      <c r="F146" s="243"/>
      <c r="G146" s="243"/>
      <c r="H146" s="243"/>
      <c r="I146" s="243"/>
      <c r="J146" s="243"/>
      <c r="K146" s="243"/>
      <c r="L146" s="289">
        <v>62966</v>
      </c>
      <c r="M146" s="264"/>
      <c r="N146" s="264"/>
      <c r="O146" s="264"/>
      <c r="P146" s="264"/>
      <c r="Q146" s="264"/>
      <c r="R146" s="264"/>
      <c r="S146" s="264"/>
      <c r="T146" s="264"/>
    </row>
    <row r="147" spans="2:21" ht="15.6" x14ac:dyDescent="0.3">
      <c r="B147" s="354" t="s">
        <v>223</v>
      </c>
      <c r="C147" s="357" t="s">
        <v>188</v>
      </c>
      <c r="D147" s="358"/>
      <c r="E147" s="358"/>
      <c r="F147" s="358"/>
      <c r="G147" s="358"/>
      <c r="H147" s="358"/>
      <c r="I147" s="358"/>
      <c r="J147" s="358"/>
      <c r="K147" s="358"/>
      <c r="L147" s="358">
        <v>194</v>
      </c>
      <c r="M147" s="358">
        <v>298</v>
      </c>
      <c r="N147" s="358">
        <v>353</v>
      </c>
      <c r="O147" s="358">
        <v>358</v>
      </c>
      <c r="P147" s="358">
        <v>659.62</v>
      </c>
      <c r="Q147" s="358">
        <v>145.4</v>
      </c>
      <c r="R147" s="358">
        <v>397.8</v>
      </c>
      <c r="S147" s="358">
        <v>366.96</v>
      </c>
      <c r="T147" s="358">
        <v>428.2</v>
      </c>
      <c r="U147" s="358">
        <v>428.7</v>
      </c>
    </row>
    <row r="148" spans="2:21" ht="15.6" x14ac:dyDescent="0.3">
      <c r="B148" s="354" t="s">
        <v>224</v>
      </c>
      <c r="C148" s="357" t="s">
        <v>188</v>
      </c>
      <c r="D148" s="358"/>
      <c r="E148" s="358"/>
      <c r="F148" s="358"/>
      <c r="G148" s="358"/>
      <c r="H148" s="358"/>
      <c r="I148" s="358"/>
      <c r="J148" s="358"/>
      <c r="K148" s="358"/>
      <c r="L148" s="358">
        <v>17</v>
      </c>
      <c r="M148" s="358">
        <v>23</v>
      </c>
      <c r="N148" s="358">
        <v>23</v>
      </c>
      <c r="O148" s="358">
        <v>25</v>
      </c>
      <c r="P148" s="358">
        <v>18</v>
      </c>
      <c r="Q148" s="358"/>
      <c r="R148" s="358"/>
      <c r="S148" s="358"/>
      <c r="T148" s="358"/>
    </row>
    <row r="149" spans="2:21" ht="15.6" x14ac:dyDescent="0.3">
      <c r="B149" s="354" t="s">
        <v>207</v>
      </c>
      <c r="C149" s="357" t="s">
        <v>188</v>
      </c>
      <c r="D149" s="358"/>
      <c r="E149" s="358"/>
      <c r="F149" s="358"/>
      <c r="G149" s="358"/>
      <c r="H149" s="358"/>
      <c r="I149" s="358"/>
      <c r="J149" s="358"/>
      <c r="K149" s="358"/>
      <c r="L149" s="325">
        <v>20653</v>
      </c>
      <c r="M149" s="358"/>
      <c r="N149" s="358"/>
      <c r="O149" s="358"/>
      <c r="P149" s="358"/>
      <c r="Q149" s="358"/>
      <c r="R149" s="358"/>
      <c r="S149" s="358"/>
      <c r="T149" s="358"/>
    </row>
    <row r="150" spans="2:21" ht="15.6" x14ac:dyDescent="0.3">
      <c r="B150" s="353" t="s">
        <v>223</v>
      </c>
      <c r="C150" s="319" t="s">
        <v>243</v>
      </c>
      <c r="D150" s="243"/>
      <c r="E150" s="243"/>
      <c r="F150" s="243"/>
      <c r="G150" s="243"/>
      <c r="H150" s="243"/>
      <c r="I150" s="243"/>
      <c r="J150" s="243"/>
      <c r="K150" s="243"/>
      <c r="L150" s="243">
        <v>99.8</v>
      </c>
      <c r="M150" s="264">
        <v>173</v>
      </c>
      <c r="N150" s="264">
        <v>168</v>
      </c>
      <c r="O150" s="264">
        <v>185</v>
      </c>
      <c r="P150" s="264">
        <v>289.67</v>
      </c>
      <c r="Q150" s="264">
        <v>128.1</v>
      </c>
      <c r="R150" s="264">
        <v>214</v>
      </c>
      <c r="S150" s="264">
        <v>277.8</v>
      </c>
      <c r="T150" s="264">
        <v>166.1</v>
      </c>
      <c r="U150" s="264">
        <v>327.5</v>
      </c>
    </row>
    <row r="151" spans="2:21" ht="15.6" x14ac:dyDescent="0.3">
      <c r="B151" s="353" t="s">
        <v>224</v>
      </c>
      <c r="C151" s="319" t="s">
        <v>243</v>
      </c>
      <c r="D151" s="243"/>
      <c r="E151" s="243"/>
      <c r="F151" s="243"/>
      <c r="G151" s="243"/>
      <c r="H151" s="243"/>
      <c r="I151" s="243"/>
      <c r="J151" s="243"/>
      <c r="K151" s="243"/>
      <c r="L151" s="243">
        <v>7</v>
      </c>
      <c r="M151" s="264">
        <v>11</v>
      </c>
      <c r="N151" s="264">
        <v>12</v>
      </c>
      <c r="O151" s="264">
        <v>13</v>
      </c>
      <c r="P151" s="264">
        <v>15</v>
      </c>
      <c r="Q151" s="264"/>
      <c r="R151" s="264"/>
      <c r="S151" s="264"/>
      <c r="T151" s="264"/>
    </row>
    <row r="152" spans="2:21" ht="15.6" x14ac:dyDescent="0.3">
      <c r="B152" s="353" t="s">
        <v>207</v>
      </c>
      <c r="C152" s="319" t="s">
        <v>243</v>
      </c>
      <c r="D152" s="243"/>
      <c r="E152" s="243"/>
      <c r="F152" s="243"/>
      <c r="G152" s="243"/>
      <c r="H152" s="243"/>
      <c r="I152" s="243"/>
      <c r="J152" s="243"/>
      <c r="K152" s="243"/>
      <c r="L152" s="289">
        <v>20385</v>
      </c>
      <c r="M152" s="264"/>
      <c r="N152" s="264"/>
      <c r="O152" s="264"/>
      <c r="P152" s="264"/>
      <c r="Q152" s="264"/>
      <c r="R152" s="264"/>
      <c r="S152" s="264"/>
      <c r="T152" s="264"/>
    </row>
    <row r="153" spans="2:21" ht="15.6" x14ac:dyDescent="0.3">
      <c r="B153" s="354" t="s">
        <v>223</v>
      </c>
      <c r="C153" s="357" t="s">
        <v>244</v>
      </c>
      <c r="D153" s="358"/>
      <c r="E153" s="358"/>
      <c r="F153" s="358"/>
      <c r="G153" s="358"/>
      <c r="H153" s="358"/>
      <c r="I153" s="358"/>
      <c r="J153" s="358"/>
      <c r="K153" s="358"/>
      <c r="L153" s="358">
        <v>214.8</v>
      </c>
      <c r="M153" s="358">
        <v>274</v>
      </c>
      <c r="N153" s="358">
        <v>295</v>
      </c>
      <c r="O153" s="358">
        <v>292</v>
      </c>
      <c r="P153" s="358">
        <v>404.11</v>
      </c>
      <c r="Q153" s="358">
        <v>492.3</v>
      </c>
      <c r="R153" s="358">
        <v>575</v>
      </c>
      <c r="S153" s="358">
        <v>723.64</v>
      </c>
      <c r="T153" s="358">
        <v>531.70000000000005</v>
      </c>
      <c r="U153" s="358">
        <v>655.1</v>
      </c>
    </row>
    <row r="154" spans="2:21" ht="15.6" x14ac:dyDescent="0.3">
      <c r="B154" s="354" t="s">
        <v>224</v>
      </c>
      <c r="C154" s="357" t="s">
        <v>244</v>
      </c>
      <c r="D154" s="358"/>
      <c r="E154" s="358"/>
      <c r="F154" s="358"/>
      <c r="G154" s="358"/>
      <c r="H154" s="358"/>
      <c r="I154" s="358"/>
      <c r="J154" s="358"/>
      <c r="K154" s="358"/>
      <c r="L154" s="358">
        <v>16</v>
      </c>
      <c r="M154" s="358">
        <v>21</v>
      </c>
      <c r="N154" s="358">
        <v>23</v>
      </c>
      <c r="O154" s="358">
        <v>24</v>
      </c>
      <c r="P154" s="358">
        <v>37</v>
      </c>
      <c r="Q154" s="358"/>
      <c r="R154" s="358"/>
      <c r="S154" s="358"/>
      <c r="T154" s="358"/>
    </row>
    <row r="155" spans="2:21" ht="15.6" x14ac:dyDescent="0.3">
      <c r="B155" s="354" t="s">
        <v>207</v>
      </c>
      <c r="C155" s="357" t="s">
        <v>244</v>
      </c>
      <c r="D155" s="358"/>
      <c r="E155" s="358"/>
      <c r="F155" s="358"/>
      <c r="G155" s="358"/>
      <c r="H155" s="358"/>
      <c r="I155" s="358"/>
      <c r="J155" s="358"/>
      <c r="K155" s="358"/>
      <c r="L155" s="325">
        <v>38853</v>
      </c>
      <c r="M155" s="358"/>
      <c r="N155" s="358"/>
      <c r="O155" s="358"/>
      <c r="P155" s="358"/>
      <c r="Q155" s="358"/>
      <c r="R155" s="358"/>
      <c r="S155" s="358"/>
      <c r="T155" s="358"/>
    </row>
    <row r="156" spans="2:21" ht="15.6" x14ac:dyDescent="0.3">
      <c r="B156" s="353" t="s">
        <v>223</v>
      </c>
      <c r="C156" s="326" t="s">
        <v>346</v>
      </c>
      <c r="D156" s="264"/>
      <c r="E156" s="264"/>
      <c r="F156" s="264"/>
      <c r="G156" s="264"/>
      <c r="H156" s="264"/>
      <c r="I156" s="264"/>
      <c r="J156" s="264"/>
      <c r="K156" s="264"/>
      <c r="L156" s="412"/>
      <c r="M156" s="411"/>
      <c r="N156" s="411"/>
      <c r="O156" s="411"/>
      <c r="P156" s="264">
        <v>489.62</v>
      </c>
      <c r="Q156" s="264">
        <v>779.1</v>
      </c>
      <c r="R156" s="264">
        <v>948.71</v>
      </c>
      <c r="S156" s="264">
        <v>1208.22</v>
      </c>
      <c r="T156" s="264">
        <v>1054.5</v>
      </c>
      <c r="U156" s="264">
        <v>986.21</v>
      </c>
    </row>
    <row r="157" spans="2:21" ht="15.6" x14ac:dyDescent="0.3">
      <c r="B157" s="353" t="s">
        <v>224</v>
      </c>
      <c r="C157" s="326" t="s">
        <v>346</v>
      </c>
      <c r="D157" s="264"/>
      <c r="E157" s="264"/>
      <c r="F157" s="264"/>
      <c r="G157" s="264"/>
      <c r="H157" s="264"/>
      <c r="I157" s="264"/>
      <c r="J157" s="264"/>
      <c r="K157" s="264"/>
      <c r="L157" s="412"/>
      <c r="M157" s="411"/>
      <c r="N157" s="411"/>
      <c r="O157" s="411"/>
      <c r="P157" s="264">
        <v>34</v>
      </c>
      <c r="Q157" s="264"/>
      <c r="R157" s="264"/>
      <c r="S157" s="264"/>
      <c r="T157" s="264"/>
    </row>
    <row r="158" spans="2:21" ht="15.6" x14ac:dyDescent="0.3">
      <c r="B158" s="353" t="s">
        <v>207</v>
      </c>
      <c r="C158" s="326" t="s">
        <v>346</v>
      </c>
      <c r="D158" s="264"/>
      <c r="E158" s="264"/>
      <c r="F158" s="264"/>
      <c r="G158" s="264"/>
      <c r="H158" s="264"/>
      <c r="I158" s="264"/>
      <c r="J158" s="264"/>
      <c r="K158" s="264"/>
      <c r="L158" s="412"/>
      <c r="M158" s="411"/>
      <c r="N158" s="411"/>
      <c r="O158" s="411"/>
      <c r="P158" s="264"/>
      <c r="Q158" s="264"/>
      <c r="R158" s="264"/>
      <c r="S158" s="264"/>
      <c r="T158" s="264"/>
    </row>
    <row r="159" spans="2:21" ht="15.6" x14ac:dyDescent="0.3">
      <c r="B159" s="356" t="s">
        <v>223</v>
      </c>
      <c r="C159" s="357" t="s">
        <v>191</v>
      </c>
      <c r="D159" s="358"/>
      <c r="E159" s="358"/>
      <c r="F159" s="358"/>
      <c r="G159" s="358"/>
      <c r="H159" s="358"/>
      <c r="I159" s="358"/>
      <c r="J159" s="358"/>
      <c r="K159" s="358"/>
      <c r="L159" s="358">
        <v>269.2</v>
      </c>
      <c r="M159" s="358">
        <v>443</v>
      </c>
      <c r="N159" s="358">
        <v>660</v>
      </c>
      <c r="O159" s="358"/>
      <c r="P159" s="358">
        <v>401.38</v>
      </c>
      <c r="Q159" s="358">
        <v>469.7</v>
      </c>
      <c r="R159" s="358">
        <v>554.4</v>
      </c>
      <c r="S159" s="358">
        <v>530.4</v>
      </c>
      <c r="T159" s="358">
        <v>658.4</v>
      </c>
      <c r="U159" s="358">
        <v>547.29999999999995</v>
      </c>
    </row>
    <row r="160" spans="2:21" ht="15.6" x14ac:dyDescent="0.3">
      <c r="B160" s="356" t="s">
        <v>224</v>
      </c>
      <c r="C160" s="357" t="s">
        <v>191</v>
      </c>
      <c r="D160" s="358"/>
      <c r="E160" s="358"/>
      <c r="F160" s="358"/>
      <c r="G160" s="358"/>
      <c r="H160" s="358"/>
      <c r="I160" s="358"/>
      <c r="J160" s="358"/>
      <c r="K160" s="358"/>
      <c r="L160" s="358">
        <v>26</v>
      </c>
      <c r="M160" s="358">
        <v>37</v>
      </c>
      <c r="N160" s="358">
        <v>48</v>
      </c>
      <c r="O160" s="358"/>
      <c r="P160" s="358">
        <v>16</v>
      </c>
      <c r="Q160" s="358"/>
      <c r="R160" s="358"/>
      <c r="S160" s="358"/>
      <c r="T160" s="358"/>
    </row>
    <row r="161" spans="1:34" ht="15.6" x14ac:dyDescent="0.3">
      <c r="B161" s="356" t="s">
        <v>207</v>
      </c>
      <c r="C161" s="357" t="s">
        <v>191</v>
      </c>
      <c r="D161" s="358"/>
      <c r="E161" s="358"/>
      <c r="F161" s="358"/>
      <c r="G161" s="358"/>
      <c r="H161" s="358"/>
      <c r="I161" s="358"/>
      <c r="J161" s="358"/>
      <c r="K161" s="358"/>
      <c r="L161" s="325">
        <v>30200</v>
      </c>
      <c r="M161" s="358"/>
      <c r="N161" s="358"/>
      <c r="O161" s="358"/>
      <c r="P161" s="358"/>
      <c r="Q161" s="358"/>
      <c r="R161" s="358"/>
      <c r="S161" s="358"/>
      <c r="T161" s="358"/>
    </row>
    <row r="162" spans="1:34" ht="15.6" x14ac:dyDescent="0.3">
      <c r="B162" s="354" t="s">
        <v>223</v>
      </c>
      <c r="C162" s="319" t="s">
        <v>245</v>
      </c>
      <c r="D162" s="243"/>
      <c r="E162" s="243"/>
      <c r="F162" s="243"/>
      <c r="G162" s="243"/>
      <c r="H162" s="243"/>
      <c r="I162" s="243"/>
      <c r="J162" s="243"/>
      <c r="K162" s="243"/>
      <c r="L162" s="243">
        <v>1171.2</v>
      </c>
      <c r="M162" s="264">
        <v>1575</v>
      </c>
      <c r="N162" s="264">
        <v>1811</v>
      </c>
      <c r="O162" s="264"/>
      <c r="P162" s="264">
        <v>2620.23</v>
      </c>
      <c r="Q162" s="264">
        <v>3092.51</v>
      </c>
      <c r="R162" s="264">
        <v>3434.9</v>
      </c>
      <c r="S162" s="264">
        <v>2831.03</v>
      </c>
      <c r="T162" s="264">
        <v>2303.8000000000002</v>
      </c>
      <c r="U162" s="264">
        <v>2498.8000000000002</v>
      </c>
    </row>
    <row r="163" spans="1:34" ht="15.6" x14ac:dyDescent="0.3">
      <c r="B163" s="354" t="s">
        <v>224</v>
      </c>
      <c r="C163" s="319" t="s">
        <v>245</v>
      </c>
      <c r="D163" s="243"/>
      <c r="E163" s="243"/>
      <c r="F163" s="243"/>
      <c r="G163" s="243"/>
      <c r="H163" s="243"/>
      <c r="I163" s="243"/>
      <c r="J163" s="243"/>
      <c r="K163" s="243"/>
      <c r="L163" s="243">
        <v>184</v>
      </c>
      <c r="M163" s="264">
        <v>176</v>
      </c>
      <c r="N163" s="264">
        <v>216</v>
      </c>
      <c r="O163" s="264"/>
      <c r="P163" s="264">
        <v>255</v>
      </c>
      <c r="Q163" s="264"/>
      <c r="R163" s="264"/>
      <c r="S163" s="264"/>
      <c r="T163" s="264"/>
    </row>
    <row r="164" spans="1:34" ht="15.6" x14ac:dyDescent="0.3">
      <c r="B164" s="354" t="s">
        <v>207</v>
      </c>
      <c r="C164" s="319" t="s">
        <v>245</v>
      </c>
      <c r="D164" s="243"/>
      <c r="E164" s="243"/>
      <c r="F164" s="243"/>
      <c r="G164" s="243"/>
      <c r="H164" s="243"/>
      <c r="I164" s="243"/>
      <c r="J164" s="243"/>
      <c r="K164" s="243"/>
      <c r="L164" s="289">
        <v>130984</v>
      </c>
      <c r="M164" s="264"/>
      <c r="N164" s="264"/>
      <c r="O164" s="264"/>
      <c r="P164" s="264"/>
      <c r="Q164" s="264"/>
      <c r="R164" s="264"/>
      <c r="S164" s="264"/>
      <c r="T164" s="264"/>
    </row>
    <row r="165" spans="1:34" ht="15.6" x14ac:dyDescent="0.3">
      <c r="B165" s="243"/>
      <c r="C165" s="243"/>
      <c r="D165" s="243"/>
      <c r="E165" s="243"/>
      <c r="F165" s="243"/>
      <c r="G165" s="243"/>
      <c r="H165" s="243"/>
      <c r="I165" s="243"/>
      <c r="J165" s="243"/>
      <c r="K165" s="243"/>
      <c r="L165" s="243"/>
      <c r="M165" s="264"/>
      <c r="N165" s="264"/>
      <c r="O165" s="264"/>
      <c r="P165" s="264"/>
      <c r="Q165" s="264"/>
      <c r="R165" s="264"/>
      <c r="S165" s="264"/>
    </row>
    <row r="166" spans="1:34" s="205" customFormat="1" ht="15.6" x14ac:dyDescent="0.3">
      <c r="A166" s="6"/>
      <c r="B166" s="243" t="s">
        <v>202</v>
      </c>
      <c r="C166" s="243"/>
      <c r="D166" s="243"/>
      <c r="E166" s="243"/>
      <c r="F166" s="243"/>
      <c r="G166" s="243"/>
      <c r="H166" s="243"/>
      <c r="I166" s="243"/>
      <c r="J166" s="243"/>
      <c r="K166" s="243"/>
      <c r="L166" s="243"/>
      <c r="M166" s="264"/>
      <c r="N166" s="264"/>
      <c r="O166" s="264"/>
      <c r="P166" s="264"/>
      <c r="Q166" s="264"/>
      <c r="R166" s="264"/>
      <c r="S166" s="264"/>
      <c r="T166" s="6"/>
      <c r="U166" s="6"/>
      <c r="V166" s="6"/>
      <c r="W166" s="6"/>
      <c r="X166" s="6"/>
      <c r="Y166" s="6"/>
      <c r="Z166" s="6"/>
      <c r="AA166" s="6"/>
      <c r="AB166" s="6"/>
      <c r="AC166" s="6"/>
      <c r="AD166" s="6"/>
      <c r="AE166" s="6"/>
      <c r="AF166" s="6"/>
      <c r="AG166" s="6"/>
      <c r="AH166" s="6"/>
    </row>
    <row r="167" spans="1:34" ht="15.6" x14ac:dyDescent="0.3">
      <c r="B167" s="411" t="s">
        <v>606</v>
      </c>
      <c r="C167" s="243"/>
      <c r="D167" s="243"/>
      <c r="E167" s="243"/>
      <c r="F167" s="243"/>
      <c r="G167" s="243"/>
      <c r="H167" s="243"/>
      <c r="I167" s="243"/>
      <c r="J167" s="243"/>
      <c r="K167" s="243"/>
      <c r="L167" s="243"/>
      <c r="M167" s="264"/>
      <c r="N167" s="264"/>
      <c r="O167" s="264"/>
      <c r="P167" s="264"/>
      <c r="Q167" s="264"/>
      <c r="R167" s="264"/>
      <c r="S167" s="264"/>
    </row>
    <row r="168" spans="1:34" s="205" customFormat="1" ht="15.6" x14ac:dyDescent="0.3">
      <c r="A168" s="6"/>
      <c r="B168" s="411" t="s">
        <v>607</v>
      </c>
      <c r="C168" s="243"/>
      <c r="D168" s="243"/>
      <c r="E168" s="243"/>
      <c r="F168" s="243"/>
      <c r="G168" s="243"/>
      <c r="H168" s="243"/>
      <c r="I168" s="243"/>
      <c r="J168" s="243"/>
      <c r="K168" s="243"/>
      <c r="L168" s="243"/>
      <c r="M168" s="264"/>
      <c r="N168" s="264"/>
      <c r="O168" s="264"/>
      <c r="P168" s="264"/>
      <c r="Q168" s="264"/>
      <c r="R168" s="264"/>
      <c r="S168" s="264"/>
      <c r="T168" s="6"/>
      <c r="U168" s="6"/>
      <c r="V168" s="6"/>
      <c r="W168" s="6"/>
      <c r="X168" s="6"/>
      <c r="Y168" s="6"/>
      <c r="Z168" s="6"/>
      <c r="AA168" s="6"/>
      <c r="AB168" s="6"/>
      <c r="AC168" s="6"/>
      <c r="AD168" s="6"/>
      <c r="AE168" s="6"/>
      <c r="AF168" s="6"/>
      <c r="AG168" s="6"/>
      <c r="AH168" s="6"/>
    </row>
    <row r="169" spans="1:34" ht="15.6" x14ac:dyDescent="0.3">
      <c r="B169" s="255" t="s">
        <v>490</v>
      </c>
      <c r="C169" s="255"/>
      <c r="D169" s="290"/>
      <c r="E169" s="290"/>
      <c r="F169" s="290"/>
      <c r="G169" s="290"/>
      <c r="H169" s="290"/>
      <c r="I169" s="290"/>
      <c r="J169" s="290"/>
      <c r="K169" s="290"/>
      <c r="L169" s="290"/>
      <c r="M169" s="290"/>
      <c r="N169" s="290"/>
      <c r="O169" s="290"/>
      <c r="P169" s="290"/>
      <c r="Q169" s="290"/>
      <c r="R169" s="290"/>
      <c r="S169" s="290"/>
      <c r="T169" s="290"/>
      <c r="U169" s="290"/>
    </row>
    <row r="170" spans="1:34" ht="15.6" x14ac:dyDescent="0.3">
      <c r="B170" s="256"/>
      <c r="C170" s="256"/>
      <c r="D170" s="291">
        <v>2000</v>
      </c>
      <c r="E170" s="256">
        <v>2001</v>
      </c>
      <c r="F170" s="291">
        <v>2002</v>
      </c>
      <c r="G170" s="256">
        <v>2003</v>
      </c>
      <c r="H170" s="291">
        <v>2004</v>
      </c>
      <c r="I170" s="256">
        <v>2005</v>
      </c>
      <c r="J170" s="291">
        <v>2006</v>
      </c>
      <c r="K170" s="256">
        <v>2007</v>
      </c>
      <c r="L170" s="291">
        <v>2008</v>
      </c>
      <c r="M170" s="256">
        <v>2009</v>
      </c>
      <c r="N170" s="291">
        <v>2010</v>
      </c>
      <c r="O170" s="256">
        <v>2011</v>
      </c>
      <c r="P170" s="291">
        <v>2012</v>
      </c>
      <c r="Q170" s="256">
        <v>2013</v>
      </c>
      <c r="R170" s="256">
        <v>2014</v>
      </c>
      <c r="S170" s="256">
        <v>2015</v>
      </c>
      <c r="T170" s="256">
        <v>2016</v>
      </c>
      <c r="U170" s="256">
        <v>2017</v>
      </c>
    </row>
    <row r="171" spans="1:34" ht="15.6" x14ac:dyDescent="0.3">
      <c r="B171" s="257" t="s">
        <v>492</v>
      </c>
      <c r="C171" s="292"/>
      <c r="D171" s="292">
        <f>D47</f>
        <v>0</v>
      </c>
      <c r="E171" s="292">
        <f t="shared" ref="E171:Q171" si="1">E47</f>
        <v>0</v>
      </c>
      <c r="F171" s="292">
        <f t="shared" si="1"/>
        <v>0</v>
      </c>
      <c r="G171" s="292">
        <f t="shared" si="1"/>
        <v>0</v>
      </c>
      <c r="H171" s="292">
        <f t="shared" si="1"/>
        <v>195600</v>
      </c>
      <c r="I171" s="292">
        <f t="shared" si="1"/>
        <v>225000</v>
      </c>
      <c r="J171" s="292">
        <f t="shared" si="1"/>
        <v>257000</v>
      </c>
      <c r="K171" s="292">
        <f t="shared" si="1"/>
        <v>0</v>
      </c>
      <c r="L171" s="292">
        <f t="shared" si="1"/>
        <v>0</v>
      </c>
      <c r="M171" s="292">
        <f t="shared" si="1"/>
        <v>0</v>
      </c>
      <c r="N171" s="292">
        <f t="shared" si="1"/>
        <v>0</v>
      </c>
      <c r="O171" s="292">
        <f t="shared" si="1"/>
        <v>0</v>
      </c>
      <c r="P171" s="292">
        <f t="shared" si="1"/>
        <v>0</v>
      </c>
      <c r="Q171" s="292">
        <f t="shared" si="1"/>
        <v>0</v>
      </c>
      <c r="R171" s="292">
        <f>R47</f>
        <v>0</v>
      </c>
      <c r="S171" s="292">
        <f>S47</f>
        <v>0</v>
      </c>
      <c r="T171" s="292">
        <f>T47</f>
        <v>0</v>
      </c>
      <c r="U171" s="292">
        <f>U47</f>
        <v>0</v>
      </c>
    </row>
    <row r="172" spans="1:34" ht="15.6" x14ac:dyDescent="0.3">
      <c r="B172" s="681" t="s">
        <v>493</v>
      </c>
      <c r="C172" s="681"/>
      <c r="D172" s="681"/>
      <c r="E172" s="681"/>
      <c r="F172" s="681"/>
      <c r="G172" s="681"/>
      <c r="H172" s="681"/>
      <c r="I172" s="681"/>
      <c r="J172" s="681"/>
      <c r="K172" s="243"/>
      <c r="L172" s="243"/>
      <c r="M172" s="264"/>
      <c r="N172" s="264"/>
      <c r="O172" s="264"/>
      <c r="P172" s="264"/>
      <c r="Q172" s="264"/>
      <c r="R172" s="264"/>
    </row>
    <row r="173" spans="1:34" x14ac:dyDescent="0.3">
      <c r="B173" t="s">
        <v>608</v>
      </c>
    </row>
    <row r="180" ht="36.75" customHeight="1" x14ac:dyDescent="0.3"/>
  </sheetData>
  <mergeCells count="18">
    <mergeCell ref="B2:L2"/>
    <mergeCell ref="B38:C38"/>
    <mergeCell ref="B39:C39"/>
    <mergeCell ref="B46:C46"/>
    <mergeCell ref="B47:C47"/>
    <mergeCell ref="B44:C44"/>
    <mergeCell ref="B172:J172"/>
    <mergeCell ref="B40:C40"/>
    <mergeCell ref="B41:C41"/>
    <mergeCell ref="B42:C42"/>
    <mergeCell ref="B43:C43"/>
    <mergeCell ref="B48:C48"/>
    <mergeCell ref="B79:C79"/>
    <mergeCell ref="B55:C55"/>
    <mergeCell ref="B53:C53"/>
    <mergeCell ref="B50:C50"/>
    <mergeCell ref="B51:C51"/>
    <mergeCell ref="B52:C52"/>
  </mergeCells>
  <pageMargins left="0.70866141732283472" right="0.70866141732283472" top="0.74803149606299213" bottom="0.74803149606299213" header="0.31496062992125984" footer="0.31496062992125984"/>
  <pageSetup paperSize="9" scale="81" fitToHeight="4" orientation="landscape" r:id="rId1"/>
  <headerFooter>
    <oddHeader>&amp;RPage &amp;P of &amp;N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FD98"/>
  <sheetViews>
    <sheetView workbookViewId="0">
      <selection activeCell="E100" sqref="E100"/>
    </sheetView>
  </sheetViews>
  <sheetFormatPr defaultColWidth="8.77734375" defaultRowHeight="14.4" x14ac:dyDescent="0.3"/>
  <cols>
    <col min="1" max="1" width="52" bestFit="1" customWidth="1"/>
    <col min="2" max="2" width="17.109375" style="195" bestFit="1" customWidth="1"/>
    <col min="3" max="3" width="17.109375" style="376" bestFit="1" customWidth="1"/>
    <col min="4" max="5" width="17.109375" bestFit="1" customWidth="1"/>
    <col min="6" max="6" width="17.44140625" style="195" bestFit="1" customWidth="1"/>
    <col min="7" max="8" width="12.44140625" customWidth="1"/>
  </cols>
  <sheetData>
    <row r="1" spans="1:9" s="475" customFormat="1" x14ac:dyDescent="0.3">
      <c r="A1" s="23" t="s">
        <v>817</v>
      </c>
      <c r="B1" s="644" t="s">
        <v>816</v>
      </c>
      <c r="C1" s="417" t="s">
        <v>816</v>
      </c>
      <c r="D1" s="23" t="s">
        <v>816</v>
      </c>
      <c r="E1" s="23" t="s">
        <v>746</v>
      </c>
      <c r="F1" s="195"/>
    </row>
    <row r="2" spans="1:9" x14ac:dyDescent="0.3">
      <c r="A2" s="659" t="s">
        <v>848</v>
      </c>
      <c r="B2" s="374" t="s">
        <v>578</v>
      </c>
      <c r="C2" s="375">
        <v>2015</v>
      </c>
      <c r="D2" s="375">
        <v>2016</v>
      </c>
      <c r="E2" s="375">
        <v>2017</v>
      </c>
    </row>
    <row r="3" spans="1:9" x14ac:dyDescent="0.3">
      <c r="A3" s="9" t="s">
        <v>584</v>
      </c>
      <c r="B3" s="370">
        <v>1240000</v>
      </c>
      <c r="C3" s="370">
        <v>1255000</v>
      </c>
      <c r="D3" s="501">
        <v>1271000</v>
      </c>
      <c r="E3" s="501">
        <v>1390000</v>
      </c>
    </row>
    <row r="4" spans="1:9" ht="28.8" x14ac:dyDescent="0.3">
      <c r="A4" s="377" t="s">
        <v>585</v>
      </c>
      <c r="B4" s="370">
        <v>152</v>
      </c>
      <c r="C4" s="376">
        <v>151</v>
      </c>
      <c r="D4" s="501">
        <v>154</v>
      </c>
      <c r="E4">
        <v>156</v>
      </c>
      <c r="I4" s="658"/>
    </row>
    <row r="5" spans="1:9" ht="45" customHeight="1" x14ac:dyDescent="0.3">
      <c r="A5" s="9" t="s">
        <v>573</v>
      </c>
      <c r="B5" s="370">
        <v>180</v>
      </c>
      <c r="C5" s="376">
        <v>204</v>
      </c>
      <c r="D5" s="501">
        <v>199</v>
      </c>
      <c r="E5">
        <v>201</v>
      </c>
    </row>
    <row r="6" spans="1:9" x14ac:dyDescent="0.3">
      <c r="A6" s="9" t="s">
        <v>576</v>
      </c>
      <c r="B6" s="370">
        <v>96926</v>
      </c>
      <c r="C6" s="370">
        <v>178583</v>
      </c>
      <c r="D6" s="501">
        <v>170711</v>
      </c>
      <c r="E6" s="501">
        <v>181514</v>
      </c>
    </row>
    <row r="7" spans="1:9" ht="59.25" customHeight="1" x14ac:dyDescent="0.3">
      <c r="A7" s="9" t="s">
        <v>577</v>
      </c>
      <c r="B7" s="370">
        <v>6794</v>
      </c>
      <c r="C7" s="370">
        <v>13454</v>
      </c>
      <c r="D7" s="370">
        <v>8898</v>
      </c>
      <c r="E7" s="584">
        <v>11568</v>
      </c>
      <c r="F7" s="502"/>
    </row>
    <row r="8" spans="1:9" x14ac:dyDescent="0.3">
      <c r="A8" s="9" t="s">
        <v>575</v>
      </c>
      <c r="B8" s="370">
        <v>145351</v>
      </c>
      <c r="C8" s="370">
        <v>243191</v>
      </c>
      <c r="D8" s="501">
        <v>238062</v>
      </c>
      <c r="E8" s="501">
        <v>234847</v>
      </c>
      <c r="F8" s="501"/>
    </row>
    <row r="9" spans="1:9" x14ac:dyDescent="0.3">
      <c r="A9" s="9" t="s">
        <v>569</v>
      </c>
      <c r="B9" s="370">
        <v>116457</v>
      </c>
      <c r="C9" s="370">
        <v>186509</v>
      </c>
      <c r="D9" s="501">
        <v>185477</v>
      </c>
      <c r="E9" s="501">
        <v>174942</v>
      </c>
    </row>
    <row r="10" spans="1:9" s="205" customFormat="1" x14ac:dyDescent="0.3">
      <c r="A10" s="9" t="s">
        <v>574</v>
      </c>
      <c r="B10" s="370">
        <v>80.099999999999994</v>
      </c>
      <c r="C10" s="503">
        <v>0.77</v>
      </c>
      <c r="D10" s="502">
        <v>0.78</v>
      </c>
      <c r="E10" s="502">
        <v>0.75</v>
      </c>
    </row>
    <row r="11" spans="1:9" s="205" customFormat="1" x14ac:dyDescent="0.3">
      <c r="A11" s="9" t="s">
        <v>581</v>
      </c>
      <c r="B11" s="378">
        <v>22.9</v>
      </c>
      <c r="C11" s="376">
        <v>43.6</v>
      </c>
      <c r="D11" s="376">
        <v>40.700000000000003</v>
      </c>
      <c r="E11" s="376">
        <v>38.299999999999997</v>
      </c>
      <c r="F11" s="502"/>
    </row>
    <row r="12" spans="1:9" s="205" customFormat="1" x14ac:dyDescent="0.3">
      <c r="A12" s="9" t="s">
        <v>582</v>
      </c>
      <c r="B12" s="379">
        <v>394.48</v>
      </c>
      <c r="C12" s="504">
        <v>395.7</v>
      </c>
      <c r="D12" s="583">
        <v>398</v>
      </c>
      <c r="E12" s="583">
        <v>414</v>
      </c>
      <c r="F12" s="501"/>
    </row>
    <row r="13" spans="1:9" s="205" customFormat="1" ht="19.5" customHeight="1" x14ac:dyDescent="0.3">
      <c r="A13" s="9" t="s">
        <v>583</v>
      </c>
      <c r="B13" s="379">
        <v>27.12</v>
      </c>
      <c r="C13" s="379">
        <v>43</v>
      </c>
      <c r="D13" s="505">
        <v>40</v>
      </c>
      <c r="E13" s="505">
        <v>39</v>
      </c>
      <c r="F13" s="502"/>
    </row>
    <row r="14" spans="1:9" s="205" customFormat="1" x14ac:dyDescent="0.3">
      <c r="A14" s="382" t="s">
        <v>588</v>
      </c>
      <c r="B14" s="380"/>
      <c r="C14" s="381"/>
      <c r="D14" s="381"/>
      <c r="E14" s="381"/>
      <c r="F14" s="195"/>
    </row>
    <row r="15" spans="1:9" s="205" customFormat="1" x14ac:dyDescent="0.3">
      <c r="A15" s="9" t="s">
        <v>559</v>
      </c>
      <c r="B15" s="383">
        <v>79017364</v>
      </c>
      <c r="C15" s="383">
        <v>85131603</v>
      </c>
      <c r="D15" s="383">
        <v>84046677</v>
      </c>
      <c r="E15" s="628">
        <v>84164874</v>
      </c>
      <c r="F15" s="195"/>
    </row>
    <row r="16" spans="1:9" s="205" customFormat="1" x14ac:dyDescent="0.3">
      <c r="A16" s="9" t="s">
        <v>560</v>
      </c>
      <c r="B16" s="383">
        <v>45939463</v>
      </c>
      <c r="C16" s="383">
        <v>73801736</v>
      </c>
      <c r="D16" s="383">
        <v>73831727</v>
      </c>
      <c r="E16" s="628">
        <v>72513159</v>
      </c>
      <c r="F16" s="195"/>
    </row>
    <row r="17" spans="1:5" customFormat="1" x14ac:dyDescent="0.3">
      <c r="A17" s="9" t="s">
        <v>7</v>
      </c>
      <c r="B17" s="370"/>
      <c r="C17" s="376"/>
    </row>
    <row r="18" spans="1:5" customFormat="1" x14ac:dyDescent="0.3">
      <c r="A18" s="294"/>
      <c r="B18" s="374" t="s">
        <v>578</v>
      </c>
      <c r="C18" s="375">
        <v>2015</v>
      </c>
      <c r="D18" s="375">
        <v>2016</v>
      </c>
      <c r="E18" s="375">
        <v>2017</v>
      </c>
    </row>
    <row r="19" spans="1:5" customFormat="1" ht="15" thickBot="1" x14ac:dyDescent="0.35">
      <c r="A19" s="294" t="s">
        <v>580</v>
      </c>
      <c r="B19" s="436" t="s">
        <v>572</v>
      </c>
      <c r="C19" s="372" t="s">
        <v>572</v>
      </c>
      <c r="D19" s="436" t="s">
        <v>572</v>
      </c>
      <c r="E19" s="436" t="s">
        <v>572</v>
      </c>
    </row>
    <row r="20" spans="1:5" customFormat="1" x14ac:dyDescent="0.3">
      <c r="A20" s="9" t="s">
        <v>233</v>
      </c>
      <c r="B20" s="369">
        <v>489</v>
      </c>
      <c r="C20" s="432">
        <v>1172</v>
      </c>
      <c r="D20" s="501">
        <v>1135</v>
      </c>
      <c r="E20" s="195">
        <v>1240</v>
      </c>
    </row>
    <row r="21" spans="1:5" customFormat="1" x14ac:dyDescent="0.3">
      <c r="A21" s="9" t="s">
        <v>234</v>
      </c>
      <c r="B21" s="369">
        <v>459</v>
      </c>
      <c r="C21" s="433">
        <v>422</v>
      </c>
      <c r="D21" s="195">
        <v>511</v>
      </c>
      <c r="E21" s="195">
        <v>548</v>
      </c>
    </row>
    <row r="22" spans="1:5" customFormat="1" x14ac:dyDescent="0.3">
      <c r="A22" s="9" t="s">
        <v>168</v>
      </c>
      <c r="B22" s="370">
        <v>12756</v>
      </c>
      <c r="C22" s="434">
        <v>21438</v>
      </c>
      <c r="D22" s="501">
        <v>20421</v>
      </c>
      <c r="E22" s="195">
        <v>20470</v>
      </c>
    </row>
    <row r="23" spans="1:5" customFormat="1" x14ac:dyDescent="0.3">
      <c r="A23" s="9" t="s">
        <v>169</v>
      </c>
      <c r="B23" s="369">
        <v>719</v>
      </c>
      <c r="C23" s="434">
        <v>1540</v>
      </c>
      <c r="D23" s="501">
        <v>1686</v>
      </c>
      <c r="E23" s="195">
        <v>1831</v>
      </c>
    </row>
    <row r="24" spans="1:5" customFormat="1" x14ac:dyDescent="0.3">
      <c r="A24" s="9" t="s">
        <v>170</v>
      </c>
      <c r="B24" s="369">
        <v>10</v>
      </c>
      <c r="C24" s="433">
        <v>29</v>
      </c>
      <c r="D24" s="195">
        <v>30</v>
      </c>
      <c r="E24" s="195">
        <v>66</v>
      </c>
    </row>
    <row r="25" spans="1:5" customFormat="1" x14ac:dyDescent="0.3">
      <c r="A25" s="9" t="s">
        <v>171</v>
      </c>
      <c r="B25" s="369">
        <v>422</v>
      </c>
      <c r="C25" s="433">
        <v>597</v>
      </c>
      <c r="D25" s="195">
        <v>805</v>
      </c>
      <c r="E25" s="195">
        <v>748</v>
      </c>
    </row>
    <row r="26" spans="1:5" customFormat="1" x14ac:dyDescent="0.3">
      <c r="A26" s="9" t="s">
        <v>172</v>
      </c>
      <c r="B26" s="370">
        <v>7529</v>
      </c>
      <c r="C26" s="434">
        <v>11649</v>
      </c>
      <c r="D26" s="501">
        <v>11483</v>
      </c>
      <c r="E26" s="195">
        <v>11419</v>
      </c>
    </row>
    <row r="27" spans="1:5" customFormat="1" x14ac:dyDescent="0.3">
      <c r="A27" s="9" t="s">
        <v>235</v>
      </c>
      <c r="B27" s="369">
        <v>546</v>
      </c>
      <c r="C27" s="434">
        <v>2123</v>
      </c>
      <c r="D27" s="501">
        <v>2316</v>
      </c>
      <c r="E27" s="195">
        <v>2471</v>
      </c>
    </row>
    <row r="28" spans="1:5" customFormat="1" x14ac:dyDescent="0.3">
      <c r="A28" s="9" t="s">
        <v>349</v>
      </c>
      <c r="B28" s="370">
        <v>1616</v>
      </c>
      <c r="C28" s="434">
        <v>2831</v>
      </c>
      <c r="D28" s="501">
        <v>2678</v>
      </c>
      <c r="E28" s="195">
        <v>2787</v>
      </c>
    </row>
    <row r="29" spans="1:5" customFormat="1" x14ac:dyDescent="0.3">
      <c r="A29" s="9" t="s">
        <v>175</v>
      </c>
      <c r="B29" s="370">
        <v>3045</v>
      </c>
      <c r="C29" s="434">
        <v>5175</v>
      </c>
      <c r="D29" s="501">
        <v>5278</v>
      </c>
      <c r="E29" s="195">
        <v>5375</v>
      </c>
    </row>
    <row r="30" spans="1:5" customFormat="1" x14ac:dyDescent="0.3">
      <c r="A30" s="9" t="s">
        <v>176</v>
      </c>
      <c r="B30" s="370">
        <v>44</v>
      </c>
      <c r="C30" s="434">
        <v>77</v>
      </c>
      <c r="D30" s="501">
        <v>775</v>
      </c>
      <c r="E30" s="195">
        <v>773</v>
      </c>
    </row>
    <row r="31" spans="1:5" customFormat="1" x14ac:dyDescent="0.3">
      <c r="A31" s="9" t="s">
        <v>178</v>
      </c>
      <c r="B31" s="370">
        <v>405</v>
      </c>
      <c r="C31" s="434">
        <v>717</v>
      </c>
      <c r="D31" s="501">
        <v>600</v>
      </c>
      <c r="E31" s="195">
        <v>8955</v>
      </c>
    </row>
    <row r="32" spans="1:5" customFormat="1" x14ac:dyDescent="0.3">
      <c r="A32" s="9" t="s">
        <v>237</v>
      </c>
      <c r="B32" s="370">
        <v>722</v>
      </c>
      <c r="C32" s="434">
        <v>1944</v>
      </c>
      <c r="D32" s="501">
        <v>1913</v>
      </c>
      <c r="E32" s="195">
        <v>1962</v>
      </c>
    </row>
    <row r="33" spans="1:6" x14ac:dyDescent="0.3">
      <c r="A33" s="9" t="s">
        <v>238</v>
      </c>
      <c r="B33" s="369">
        <v>244</v>
      </c>
      <c r="C33" s="433">
        <v>475</v>
      </c>
      <c r="D33" s="501">
        <v>614</v>
      </c>
      <c r="E33" s="195">
        <v>670</v>
      </c>
    </row>
    <row r="34" spans="1:6" x14ac:dyDescent="0.3">
      <c r="A34" s="9" t="s">
        <v>181</v>
      </c>
      <c r="B34" s="369">
        <v>725</v>
      </c>
      <c r="C34" s="433">
        <v>598</v>
      </c>
      <c r="D34" s="195">
        <v>829</v>
      </c>
      <c r="E34" s="195">
        <v>833</v>
      </c>
    </row>
    <row r="35" spans="1:6" x14ac:dyDescent="0.3">
      <c r="A35" s="9" t="s">
        <v>240</v>
      </c>
      <c r="B35" s="370">
        <v>72756</v>
      </c>
      <c r="C35" s="434">
        <v>113560</v>
      </c>
      <c r="D35" s="501">
        <v>111354</v>
      </c>
      <c r="E35" s="434">
        <v>110486</v>
      </c>
    </row>
    <row r="36" spans="1:6" x14ac:dyDescent="0.3">
      <c r="A36" s="9" t="s">
        <v>241</v>
      </c>
      <c r="B36" s="369">
        <v>221</v>
      </c>
      <c r="C36" s="433">
        <v>379</v>
      </c>
      <c r="D36" s="195">
        <v>365</v>
      </c>
      <c r="E36" s="195">
        <v>363</v>
      </c>
    </row>
    <row r="37" spans="1:6" x14ac:dyDescent="0.3">
      <c r="A37" s="9" t="s">
        <v>183</v>
      </c>
      <c r="B37" s="370">
        <v>5088</v>
      </c>
      <c r="C37" s="434">
        <v>8319</v>
      </c>
      <c r="D37" s="501">
        <v>8045</v>
      </c>
      <c r="E37" s="501">
        <v>8339</v>
      </c>
    </row>
    <row r="38" spans="1:6" x14ac:dyDescent="0.3">
      <c r="A38" s="9" t="s">
        <v>184</v>
      </c>
      <c r="B38" s="370">
        <v>2315</v>
      </c>
      <c r="C38" s="434">
        <v>3848</v>
      </c>
      <c r="D38" s="501">
        <v>3881</v>
      </c>
      <c r="E38" s="501">
        <v>3934</v>
      </c>
    </row>
    <row r="39" spans="1:6" x14ac:dyDescent="0.3">
      <c r="A39" s="9" t="s">
        <v>185</v>
      </c>
      <c r="B39" s="371">
        <v>9</v>
      </c>
      <c r="C39" s="433">
        <v>30</v>
      </c>
      <c r="D39" s="195">
        <v>24</v>
      </c>
      <c r="E39" s="195">
        <v>28</v>
      </c>
    </row>
    <row r="40" spans="1:6" x14ac:dyDescent="0.3">
      <c r="A40" s="9" t="s">
        <v>242</v>
      </c>
      <c r="B40" s="370">
        <v>2628</v>
      </c>
      <c r="C40" s="434">
        <v>4319</v>
      </c>
      <c r="D40" s="501">
        <v>4472</v>
      </c>
      <c r="E40" s="501">
        <v>4576</v>
      </c>
    </row>
    <row r="41" spans="1:6" x14ac:dyDescent="0.3">
      <c r="A41" s="9" t="s">
        <v>187</v>
      </c>
      <c r="B41" s="369">
        <v>107</v>
      </c>
      <c r="C41" s="433">
        <v>202</v>
      </c>
      <c r="D41" s="195">
        <v>227</v>
      </c>
      <c r="E41" s="195">
        <v>183</v>
      </c>
    </row>
    <row r="42" spans="1:6" x14ac:dyDescent="0.3">
      <c r="A42" s="9" t="s">
        <v>188</v>
      </c>
      <c r="B42" s="369">
        <v>362</v>
      </c>
      <c r="C42" s="433">
        <v>742</v>
      </c>
      <c r="D42" s="195">
        <v>701</v>
      </c>
      <c r="E42" s="195">
        <v>640</v>
      </c>
    </row>
    <row r="43" spans="1:6" x14ac:dyDescent="0.3">
      <c r="A43" s="9" t="s">
        <v>243</v>
      </c>
      <c r="B43" s="369">
        <v>308</v>
      </c>
      <c r="C43" s="433">
        <v>512</v>
      </c>
      <c r="D43" s="195">
        <v>482</v>
      </c>
      <c r="E43" s="195">
        <v>511</v>
      </c>
    </row>
    <row r="44" spans="1:6" x14ac:dyDescent="0.3">
      <c r="A44" s="9" t="s">
        <v>244</v>
      </c>
      <c r="B44" s="370">
        <v>1379</v>
      </c>
      <c r="C44" s="434">
        <v>1184</v>
      </c>
      <c r="D44" s="434">
        <v>1807</v>
      </c>
      <c r="E44" s="434">
        <v>1878</v>
      </c>
    </row>
    <row r="45" spans="1:6" x14ac:dyDescent="0.3">
      <c r="A45" s="9" t="s">
        <v>346</v>
      </c>
      <c r="B45" s="369">
        <v>994</v>
      </c>
      <c r="C45" s="434">
        <v>1349</v>
      </c>
      <c r="D45" s="434">
        <v>1690</v>
      </c>
      <c r="E45" s="434">
        <v>1689</v>
      </c>
    </row>
    <row r="46" spans="1:6" x14ac:dyDescent="0.3">
      <c r="A46" s="9" t="s">
        <v>191</v>
      </c>
      <c r="B46" s="369">
        <v>471</v>
      </c>
      <c r="C46" s="434">
        <v>1103</v>
      </c>
      <c r="D46" s="434">
        <v>1198</v>
      </c>
      <c r="E46" s="434">
        <v>1216</v>
      </c>
    </row>
    <row r="47" spans="1:6" x14ac:dyDescent="0.3">
      <c r="A47" s="9" t="s">
        <v>245</v>
      </c>
      <c r="B47" s="373">
        <v>88</v>
      </c>
      <c r="C47" s="373">
        <v>176</v>
      </c>
      <c r="D47" s="373">
        <v>157</v>
      </c>
      <c r="E47" s="589">
        <v>3959</v>
      </c>
      <c r="F47" s="586" t="s">
        <v>771</v>
      </c>
    </row>
    <row r="48" spans="1:6" ht="15" thickBot="1" x14ac:dyDescent="0.35">
      <c r="A48" s="662" t="s">
        <v>497</v>
      </c>
      <c r="B48" s="435">
        <f>SUM(B20:B47)</f>
        <v>116457</v>
      </c>
      <c r="C48" s="435">
        <v>186509</v>
      </c>
      <c r="D48" s="435">
        <v>185477</v>
      </c>
      <c r="E48" s="435">
        <f>SUM(E20:E47)</f>
        <v>197950</v>
      </c>
    </row>
    <row r="49" spans="1:5" customFormat="1" x14ac:dyDescent="0.3">
      <c r="B49" s="195"/>
      <c r="C49" s="376"/>
      <c r="D49" s="376"/>
    </row>
    <row r="50" spans="1:5" customFormat="1" ht="15" thickBot="1" x14ac:dyDescent="0.35">
      <c r="A50" s="294" t="s">
        <v>580</v>
      </c>
      <c r="B50" s="439" t="s">
        <v>617</v>
      </c>
      <c r="C50" s="481" t="s">
        <v>618</v>
      </c>
      <c r="D50" s="481" t="s">
        <v>659</v>
      </c>
      <c r="E50" s="481" t="s">
        <v>769</v>
      </c>
    </row>
    <row r="51" spans="1:5" customFormat="1" x14ac:dyDescent="0.3">
      <c r="A51" s="9" t="s">
        <v>233</v>
      </c>
      <c r="B51" s="369">
        <v>15.7</v>
      </c>
      <c r="C51" s="369">
        <v>37.700000000000003</v>
      </c>
      <c r="D51" s="369">
        <v>36.6</v>
      </c>
      <c r="E51" s="587">
        <v>40</v>
      </c>
    </row>
    <row r="52" spans="1:5" customFormat="1" x14ac:dyDescent="0.3">
      <c r="A52" s="9" t="s">
        <v>234</v>
      </c>
      <c r="B52" s="369">
        <v>18.2</v>
      </c>
      <c r="C52" s="369">
        <v>11.5</v>
      </c>
      <c r="D52" s="369">
        <v>14.4</v>
      </c>
      <c r="E52" s="587">
        <v>15.4</v>
      </c>
    </row>
    <row r="53" spans="1:5" customFormat="1" x14ac:dyDescent="0.3">
      <c r="A53" s="9" t="s">
        <v>168</v>
      </c>
      <c r="B53" s="369">
        <v>36.6</v>
      </c>
      <c r="C53" s="369">
        <v>61.5</v>
      </c>
      <c r="D53" s="369">
        <v>53.3</v>
      </c>
      <c r="E53" s="587">
        <v>53.4</v>
      </c>
    </row>
    <row r="54" spans="1:5" customFormat="1" x14ac:dyDescent="0.3">
      <c r="A54" s="9" t="s">
        <v>169</v>
      </c>
      <c r="B54" s="369">
        <v>12.1</v>
      </c>
      <c r="C54" s="369">
        <v>25.7</v>
      </c>
      <c r="D54" s="369">
        <v>27.9</v>
      </c>
      <c r="E54" s="587">
        <v>30.3</v>
      </c>
    </row>
    <row r="55" spans="1:5" customFormat="1" x14ac:dyDescent="0.3">
      <c r="A55" s="9" t="s">
        <v>170</v>
      </c>
      <c r="B55" s="369">
        <v>5.2</v>
      </c>
      <c r="C55" s="369">
        <v>15.3</v>
      </c>
      <c r="D55" s="369">
        <v>9.1999999999999993</v>
      </c>
      <c r="E55" s="587">
        <v>20.8</v>
      </c>
    </row>
    <row r="56" spans="1:5" customFormat="1" x14ac:dyDescent="0.3">
      <c r="A56" s="9" t="s">
        <v>171</v>
      </c>
      <c r="B56" s="369">
        <v>12.4</v>
      </c>
      <c r="C56" s="369">
        <v>16.3</v>
      </c>
      <c r="D56" s="369">
        <v>19.3</v>
      </c>
      <c r="E56" s="587">
        <v>17.899999999999999</v>
      </c>
    </row>
    <row r="57" spans="1:5" customFormat="1" x14ac:dyDescent="0.3">
      <c r="A57" s="9" t="s">
        <v>172</v>
      </c>
      <c r="B57" s="369">
        <v>41.9</v>
      </c>
      <c r="C57" s="369">
        <v>64.8</v>
      </c>
      <c r="D57" s="369">
        <v>58.9</v>
      </c>
      <c r="E57" s="587">
        <v>58.6</v>
      </c>
    </row>
    <row r="58" spans="1:5" customFormat="1" x14ac:dyDescent="0.3">
      <c r="A58" s="9" t="s">
        <v>235</v>
      </c>
      <c r="B58" s="369">
        <v>15.5</v>
      </c>
      <c r="C58" s="369">
        <v>42.1</v>
      </c>
      <c r="D58" s="369">
        <v>45.1</v>
      </c>
      <c r="E58" s="587">
        <v>48.1</v>
      </c>
    </row>
    <row r="59" spans="1:5" customFormat="1" x14ac:dyDescent="0.3">
      <c r="A59" s="9" t="s">
        <v>349</v>
      </c>
      <c r="B59" s="369">
        <v>25.4</v>
      </c>
      <c r="C59" s="369">
        <v>44.6</v>
      </c>
      <c r="D59" s="369">
        <v>40.299999999999997</v>
      </c>
      <c r="E59" s="587">
        <v>41.9</v>
      </c>
    </row>
    <row r="60" spans="1:5" customFormat="1" x14ac:dyDescent="0.3">
      <c r="A60" s="9" t="s">
        <v>175</v>
      </c>
      <c r="B60" s="369">
        <v>37.9</v>
      </c>
      <c r="C60" s="369">
        <v>64.400000000000006</v>
      </c>
      <c r="D60" s="369">
        <v>64.3</v>
      </c>
      <c r="E60" s="587">
        <v>65.5</v>
      </c>
    </row>
    <row r="61" spans="1:5" customFormat="1" x14ac:dyDescent="0.3">
      <c r="A61" s="9" t="s">
        <v>176</v>
      </c>
      <c r="B61" s="369">
        <v>1.1000000000000001</v>
      </c>
      <c r="C61" s="369">
        <v>1.8</v>
      </c>
      <c r="D61" s="369">
        <v>17.3</v>
      </c>
      <c r="E61" s="587">
        <v>17.3</v>
      </c>
    </row>
    <row r="62" spans="1:5" customFormat="1" x14ac:dyDescent="0.3">
      <c r="A62" s="9" t="s">
        <v>178</v>
      </c>
      <c r="B62" s="369">
        <v>1.5</v>
      </c>
      <c r="C62" s="369">
        <v>2.6</v>
      </c>
      <c r="D62" s="369">
        <v>2</v>
      </c>
      <c r="E62" s="587">
        <v>30.3</v>
      </c>
    </row>
    <row r="63" spans="1:5" customFormat="1" x14ac:dyDescent="0.3">
      <c r="A63" s="9" t="s">
        <v>237</v>
      </c>
      <c r="B63" s="369">
        <v>10</v>
      </c>
      <c r="C63" s="369">
        <v>26.8</v>
      </c>
      <c r="D63" s="369">
        <v>22.4</v>
      </c>
      <c r="E63" s="587">
        <v>23</v>
      </c>
    </row>
    <row r="64" spans="1:5" customFormat="1" x14ac:dyDescent="0.3">
      <c r="A64" s="9" t="s">
        <v>238</v>
      </c>
      <c r="B64" s="369">
        <v>7.4</v>
      </c>
      <c r="C64" s="369">
        <v>14</v>
      </c>
      <c r="D64" s="369">
        <v>45.2</v>
      </c>
      <c r="E64" s="587">
        <v>19.5</v>
      </c>
    </row>
    <row r="65" spans="1:6" x14ac:dyDescent="0.3">
      <c r="A65" s="9" t="s">
        <v>181</v>
      </c>
      <c r="B65" s="369">
        <v>23.3</v>
      </c>
      <c r="C65" s="369">
        <v>19.3</v>
      </c>
      <c r="D65" s="369">
        <v>17.899999999999999</v>
      </c>
      <c r="E65" s="587">
        <v>26.5</v>
      </c>
    </row>
    <row r="66" spans="1:6" x14ac:dyDescent="0.3">
      <c r="A66" s="9" t="s">
        <v>240</v>
      </c>
      <c r="B66" s="369">
        <v>31.7</v>
      </c>
      <c r="C66" s="369">
        <v>49.5</v>
      </c>
      <c r="D66" s="369">
        <v>26.4</v>
      </c>
      <c r="E66" s="587">
        <v>44.9</v>
      </c>
    </row>
    <row r="67" spans="1:6" x14ac:dyDescent="0.3">
      <c r="A67" s="9" t="s">
        <v>241</v>
      </c>
      <c r="B67" s="369">
        <v>19.399999999999999</v>
      </c>
      <c r="C67" s="369">
        <v>33.299999999999997</v>
      </c>
      <c r="D67" s="369">
        <v>33.5</v>
      </c>
      <c r="E67" s="587">
        <v>33.299999999999997</v>
      </c>
    </row>
    <row r="68" spans="1:6" x14ac:dyDescent="0.3">
      <c r="A68" s="9" t="s">
        <v>183</v>
      </c>
      <c r="B68" s="369">
        <v>34.700000000000003</v>
      </c>
      <c r="C68" s="369">
        <v>56.8</v>
      </c>
      <c r="D68" s="369">
        <v>53.2</v>
      </c>
      <c r="E68" s="587">
        <v>55.1</v>
      </c>
    </row>
    <row r="69" spans="1:6" x14ac:dyDescent="0.3">
      <c r="A69" s="9" t="s">
        <v>184</v>
      </c>
      <c r="B69" s="369">
        <v>28.5</v>
      </c>
      <c r="C69" s="369">
        <v>47.4</v>
      </c>
      <c r="D69" s="369">
        <v>46</v>
      </c>
      <c r="E69" s="587">
        <v>46.6</v>
      </c>
    </row>
    <row r="70" spans="1:6" x14ac:dyDescent="0.3">
      <c r="A70" s="9" t="s">
        <v>185</v>
      </c>
      <c r="B70" s="369">
        <v>1.7</v>
      </c>
      <c r="C70" s="369">
        <v>5.7</v>
      </c>
      <c r="D70" s="369">
        <v>4.5999999999999996</v>
      </c>
      <c r="E70" s="587">
        <v>5.5</v>
      </c>
    </row>
    <row r="71" spans="1:6" x14ac:dyDescent="0.3">
      <c r="A71" s="9" t="s">
        <v>242</v>
      </c>
      <c r="B71" s="369">
        <v>32.6</v>
      </c>
      <c r="C71" s="369">
        <v>53.5</v>
      </c>
      <c r="D71" s="369">
        <v>53.9</v>
      </c>
      <c r="E71" s="587">
        <v>55.1</v>
      </c>
    </row>
    <row r="72" spans="1:6" x14ac:dyDescent="0.3">
      <c r="A72" s="9" t="s">
        <v>187</v>
      </c>
      <c r="B72" s="369">
        <v>3.1</v>
      </c>
      <c r="C72" s="369">
        <v>3.8</v>
      </c>
      <c r="D72" s="369">
        <v>4</v>
      </c>
      <c r="E72" s="587">
        <v>3</v>
      </c>
    </row>
    <row r="73" spans="1:6" x14ac:dyDescent="0.3">
      <c r="A73" s="9" t="s">
        <v>188</v>
      </c>
      <c r="B73" s="369">
        <v>18.3</v>
      </c>
      <c r="C73" s="369">
        <v>37.299999999999997</v>
      </c>
      <c r="D73" s="369">
        <v>35.700000000000003</v>
      </c>
      <c r="E73" s="587">
        <v>32.6</v>
      </c>
    </row>
    <row r="74" spans="1:6" x14ac:dyDescent="0.3">
      <c r="A74" s="9" t="s">
        <v>243</v>
      </c>
      <c r="B74" s="369">
        <v>16.5</v>
      </c>
      <c r="C74" s="369">
        <v>27.5</v>
      </c>
      <c r="D74" s="369">
        <v>36.700000000000003</v>
      </c>
      <c r="E74" s="587">
        <v>38.9</v>
      </c>
    </row>
    <row r="75" spans="1:6" s="475" customFormat="1" x14ac:dyDescent="0.3">
      <c r="A75" s="588" t="s">
        <v>406</v>
      </c>
      <c r="B75" s="585"/>
      <c r="C75" s="585"/>
      <c r="D75" s="585"/>
      <c r="E75" s="585"/>
      <c r="F75" s="195"/>
    </row>
    <row r="76" spans="1:6" x14ac:dyDescent="0.3">
      <c r="A76" s="9" t="s">
        <v>244</v>
      </c>
      <c r="B76" s="369">
        <v>36.200000000000003</v>
      </c>
      <c r="C76" s="369">
        <v>31.1</v>
      </c>
      <c r="D76" s="369">
        <v>42.5</v>
      </c>
      <c r="E76" s="587">
        <v>44.2</v>
      </c>
    </row>
    <row r="77" spans="1:6" x14ac:dyDescent="0.3">
      <c r="A77" s="9" t="s">
        <v>346</v>
      </c>
      <c r="B77" s="369">
        <v>23.1</v>
      </c>
      <c r="C77" s="369">
        <v>31.3</v>
      </c>
      <c r="D77" s="369">
        <v>40.1</v>
      </c>
      <c r="E77" s="587">
        <v>40.1</v>
      </c>
    </row>
    <row r="78" spans="1:6" x14ac:dyDescent="0.3">
      <c r="A78" s="9" t="s">
        <v>191</v>
      </c>
      <c r="B78" s="369">
        <v>16.5</v>
      </c>
      <c r="C78" s="369">
        <v>38.5</v>
      </c>
      <c r="D78" s="369">
        <v>40.4</v>
      </c>
      <c r="E78" s="587">
        <v>41</v>
      </c>
    </row>
    <row r="79" spans="1:6" x14ac:dyDescent="0.3">
      <c r="A79" s="215" t="s">
        <v>245</v>
      </c>
      <c r="B79" s="373">
        <v>0.8</v>
      </c>
      <c r="C79" s="373">
        <v>1.5</v>
      </c>
      <c r="D79" s="373">
        <v>1.3</v>
      </c>
      <c r="E79" s="585">
        <v>33.299999999999997</v>
      </c>
      <c r="F79" s="586" t="s">
        <v>770</v>
      </c>
    </row>
    <row r="80" spans="1:6" ht="15" thickBot="1" x14ac:dyDescent="0.35">
      <c r="A80" s="438" t="s">
        <v>579</v>
      </c>
      <c r="B80" s="437">
        <v>27.5</v>
      </c>
      <c r="C80" s="437">
        <v>43.6</v>
      </c>
      <c r="D80" s="437">
        <v>40.700000000000003</v>
      </c>
      <c r="E80" s="437">
        <v>38.299999999999997</v>
      </c>
    </row>
    <row r="81" spans="1:16384" x14ac:dyDescent="0.3">
      <c r="D81" s="376"/>
      <c r="F81"/>
    </row>
    <row r="82" spans="1:16384" x14ac:dyDescent="0.3">
      <c r="A82" s="597" t="s">
        <v>772</v>
      </c>
      <c r="F82"/>
    </row>
    <row r="84" spans="1:16384" x14ac:dyDescent="0.3">
      <c r="A84" s="23" t="s">
        <v>849</v>
      </c>
      <c r="E84" s="644">
        <v>2017</v>
      </c>
    </row>
    <row r="85" spans="1:16384" x14ac:dyDescent="0.3">
      <c r="A85" t="s">
        <v>850</v>
      </c>
      <c r="B85" s="640"/>
      <c r="C85" s="641"/>
      <c r="D85" s="642"/>
      <c r="E85" s="643"/>
    </row>
    <row r="86" spans="1:16384" x14ac:dyDescent="0.3">
      <c r="A86" t="s">
        <v>851</v>
      </c>
      <c r="B86" s="640"/>
      <c r="C86" s="641"/>
      <c r="D86" s="642"/>
      <c r="E86" s="643"/>
    </row>
    <row r="87" spans="1:16384" x14ac:dyDescent="0.3">
      <c r="A87" t="s">
        <v>852</v>
      </c>
      <c r="B87" s="640"/>
      <c r="C87" s="641"/>
      <c r="D87" s="642"/>
      <c r="E87" s="507">
        <v>0.59289999999999998</v>
      </c>
    </row>
    <row r="88" spans="1:16384" s="475" customFormat="1" x14ac:dyDescent="0.3">
      <c r="B88" s="640"/>
      <c r="C88" s="641"/>
      <c r="D88" s="642"/>
      <c r="E88" s="507"/>
      <c r="F88" s="195"/>
    </row>
    <row r="89" spans="1:16384" s="475" customFormat="1" x14ac:dyDescent="0.3">
      <c r="B89" s="640"/>
      <c r="C89" s="641"/>
      <c r="D89" s="642"/>
      <c r="E89" s="507"/>
      <c r="F89" s="195"/>
    </row>
    <row r="90" spans="1:16384" s="475" customFormat="1" x14ac:dyDescent="0.3">
      <c r="B90" s="640"/>
      <c r="C90" s="641"/>
      <c r="D90" s="642"/>
      <c r="E90" s="507"/>
      <c r="F90" s="195"/>
    </row>
    <row r="91" spans="1:16384" s="475" customFormat="1" x14ac:dyDescent="0.3">
      <c r="A91" s="23" t="s">
        <v>818</v>
      </c>
      <c r="B91" s="195"/>
      <c r="C91" s="376"/>
      <c r="E91" s="644">
        <v>2017</v>
      </c>
      <c r="F91" s="195"/>
    </row>
    <row r="92" spans="1:16384" s="475" customFormat="1" x14ac:dyDescent="0.3">
      <c r="A92" s="475" t="s">
        <v>819</v>
      </c>
      <c r="B92" s="640"/>
      <c r="C92" s="641"/>
      <c r="D92" s="642"/>
      <c r="E92" s="643">
        <v>21508</v>
      </c>
      <c r="F92" s="195"/>
    </row>
    <row r="93" spans="1:16384" s="475" customFormat="1" x14ac:dyDescent="0.3">
      <c r="A93" s="475" t="s">
        <v>820</v>
      </c>
      <c r="B93" s="640"/>
      <c r="C93" s="641"/>
      <c r="D93" s="642"/>
      <c r="E93" s="643">
        <v>20596</v>
      </c>
      <c r="F93" s="195"/>
    </row>
    <row r="94" spans="1:16384" s="475" customFormat="1" x14ac:dyDescent="0.3">
      <c r="A94" s="475" t="s">
        <v>821</v>
      </c>
      <c r="B94" s="640"/>
      <c r="C94" s="641"/>
      <c r="D94" s="642"/>
      <c r="E94" s="507">
        <f>E93/E92</f>
        <v>0.95759717314487636</v>
      </c>
      <c r="F94" s="195"/>
      <c r="G94" s="195"/>
      <c r="H94" s="195"/>
      <c r="I94" s="195"/>
      <c r="J94" s="195"/>
      <c r="K94" s="195"/>
      <c r="L94" s="195"/>
      <c r="M94" s="195"/>
      <c r="N94" s="195"/>
      <c r="O94" s="195"/>
      <c r="P94" s="195"/>
      <c r="Q94" s="195"/>
      <c r="R94" s="195"/>
      <c r="S94" s="195"/>
      <c r="T94" s="195"/>
      <c r="U94" s="195"/>
      <c r="V94" s="195"/>
      <c r="W94" s="195"/>
      <c r="X94" s="195"/>
      <c r="Y94" s="195"/>
      <c r="Z94" s="195"/>
      <c r="AA94" s="195"/>
      <c r="AB94" s="195"/>
      <c r="AC94" s="195"/>
      <c r="AD94" s="195"/>
      <c r="AE94" s="195"/>
      <c r="AF94" s="195"/>
      <c r="AG94" s="195"/>
      <c r="AH94" s="195"/>
      <c r="AI94" s="195"/>
      <c r="AJ94" s="195"/>
      <c r="AK94" s="195"/>
      <c r="AL94" s="195"/>
      <c r="AM94" s="195"/>
      <c r="AN94" s="195"/>
      <c r="AO94" s="195"/>
      <c r="AP94" s="195"/>
      <c r="AQ94" s="195"/>
      <c r="AR94" s="195"/>
      <c r="AS94" s="195"/>
      <c r="AT94" s="195"/>
      <c r="AU94" s="195"/>
      <c r="AV94" s="195"/>
      <c r="AW94" s="195"/>
      <c r="AX94" s="195"/>
      <c r="AY94" s="195"/>
      <c r="AZ94" s="195"/>
      <c r="BA94" s="195"/>
      <c r="BB94" s="195"/>
      <c r="BC94" s="195"/>
      <c r="BD94" s="195"/>
      <c r="BE94" s="195"/>
      <c r="BF94" s="195"/>
      <c r="BG94" s="195"/>
      <c r="BH94" s="195"/>
      <c r="BI94" s="195"/>
      <c r="BJ94" s="195"/>
      <c r="BK94" s="195"/>
      <c r="BL94" s="195"/>
      <c r="BM94" s="195"/>
      <c r="BN94" s="195"/>
      <c r="BO94" s="195"/>
      <c r="BP94" s="195"/>
      <c r="BQ94" s="195"/>
      <c r="BR94" s="195"/>
      <c r="BS94" s="195"/>
      <c r="BT94" s="195"/>
      <c r="BU94" s="195"/>
      <c r="BV94" s="195"/>
      <c r="BW94" s="195"/>
      <c r="BX94" s="195"/>
      <c r="BY94" s="195"/>
      <c r="BZ94" s="195"/>
      <c r="CA94" s="195"/>
      <c r="CB94" s="195"/>
      <c r="CC94" s="195"/>
      <c r="CD94" s="195"/>
      <c r="CE94" s="195"/>
      <c r="CF94" s="195"/>
      <c r="CG94" s="195"/>
      <c r="CH94" s="195"/>
      <c r="CI94" s="195"/>
      <c r="CJ94" s="195"/>
      <c r="CK94" s="195"/>
      <c r="CL94" s="195"/>
      <c r="CM94" s="195"/>
      <c r="CN94" s="195"/>
      <c r="CO94" s="195"/>
      <c r="CP94" s="195"/>
      <c r="CQ94" s="195"/>
      <c r="CR94" s="195"/>
      <c r="CS94" s="195"/>
      <c r="CT94" s="195"/>
      <c r="CU94" s="195"/>
      <c r="CV94" s="195"/>
      <c r="CW94" s="195"/>
      <c r="CX94" s="195"/>
      <c r="CY94" s="195"/>
      <c r="CZ94" s="195"/>
      <c r="DA94" s="195"/>
      <c r="DB94" s="195"/>
      <c r="DC94" s="195"/>
      <c r="DD94" s="195"/>
      <c r="DE94" s="195"/>
      <c r="DF94" s="195"/>
      <c r="DG94" s="195"/>
      <c r="DH94" s="195"/>
      <c r="DI94" s="195"/>
      <c r="DJ94" s="195"/>
      <c r="DK94" s="195"/>
      <c r="DL94" s="195"/>
      <c r="DM94" s="195"/>
      <c r="DN94" s="195"/>
      <c r="DO94" s="195"/>
      <c r="DP94" s="195"/>
      <c r="DQ94" s="195"/>
      <c r="DR94" s="195"/>
      <c r="DS94" s="195"/>
      <c r="DT94" s="195"/>
      <c r="DU94" s="195"/>
      <c r="DV94" s="195"/>
      <c r="DW94" s="195"/>
      <c r="DX94" s="195"/>
      <c r="DY94" s="195"/>
      <c r="DZ94" s="195"/>
      <c r="EA94" s="195"/>
      <c r="EB94" s="195"/>
      <c r="EC94" s="195"/>
      <c r="ED94" s="195"/>
      <c r="EE94" s="195"/>
      <c r="EF94" s="195"/>
      <c r="EG94" s="195"/>
      <c r="EH94" s="195"/>
      <c r="EI94" s="195"/>
      <c r="EJ94" s="195"/>
      <c r="EK94" s="195"/>
      <c r="EL94" s="195"/>
      <c r="EM94" s="195"/>
      <c r="EN94" s="195"/>
      <c r="EO94" s="195"/>
      <c r="EP94" s="195"/>
      <c r="EQ94" s="195"/>
      <c r="ER94" s="195"/>
      <c r="ES94" s="195"/>
      <c r="ET94" s="195"/>
      <c r="EU94" s="195"/>
      <c r="EV94" s="195"/>
      <c r="EW94" s="195"/>
      <c r="EX94" s="195"/>
      <c r="EY94" s="195"/>
      <c r="EZ94" s="195"/>
      <c r="FA94" s="195"/>
      <c r="FB94" s="195"/>
      <c r="FC94" s="195"/>
      <c r="FD94" s="195"/>
      <c r="FE94" s="195"/>
      <c r="FF94" s="195"/>
      <c r="FG94" s="195"/>
      <c r="FH94" s="195"/>
      <c r="FI94" s="195"/>
      <c r="FJ94" s="195"/>
      <c r="FK94" s="195"/>
      <c r="FL94" s="195"/>
      <c r="FM94" s="195"/>
      <c r="FN94" s="195"/>
      <c r="FO94" s="195"/>
      <c r="FP94" s="195"/>
      <c r="FQ94" s="195"/>
      <c r="FR94" s="195"/>
      <c r="FS94" s="195"/>
      <c r="FT94" s="195"/>
      <c r="FU94" s="195"/>
      <c r="FV94" s="195"/>
      <c r="FW94" s="195"/>
      <c r="FX94" s="195"/>
      <c r="FY94" s="195"/>
      <c r="FZ94" s="195"/>
      <c r="GA94" s="195"/>
      <c r="GB94" s="195"/>
      <c r="GC94" s="195"/>
      <c r="GD94" s="195"/>
      <c r="GE94" s="195"/>
      <c r="GF94" s="195"/>
      <c r="GG94" s="195"/>
      <c r="GH94" s="195"/>
      <c r="GI94" s="195"/>
      <c r="GJ94" s="195"/>
      <c r="GK94" s="195"/>
      <c r="GL94" s="195"/>
      <c r="GM94" s="195"/>
      <c r="GN94" s="195"/>
      <c r="GO94" s="195"/>
      <c r="GP94" s="195"/>
      <c r="GQ94" s="195"/>
      <c r="GR94" s="195"/>
      <c r="GS94" s="195"/>
      <c r="GT94" s="195"/>
      <c r="GU94" s="195"/>
      <c r="GV94" s="195"/>
      <c r="GW94" s="195"/>
      <c r="GX94" s="195"/>
      <c r="GY94" s="195"/>
      <c r="GZ94" s="195"/>
      <c r="HA94" s="195"/>
      <c r="HB94" s="195"/>
      <c r="HC94" s="195"/>
      <c r="HD94" s="195"/>
      <c r="HE94" s="195"/>
      <c r="HF94" s="195"/>
      <c r="HG94" s="195"/>
      <c r="HH94" s="195"/>
      <c r="HI94" s="195"/>
      <c r="HJ94" s="195"/>
      <c r="HK94" s="195"/>
      <c r="HL94" s="195"/>
      <c r="HM94" s="195"/>
      <c r="HN94" s="195"/>
      <c r="HO94" s="195"/>
      <c r="HP94" s="195"/>
      <c r="HQ94" s="195"/>
      <c r="HR94" s="195"/>
      <c r="HS94" s="195"/>
      <c r="HT94" s="195"/>
      <c r="HU94" s="195"/>
      <c r="HV94" s="195"/>
      <c r="HW94" s="195"/>
      <c r="HX94" s="195"/>
      <c r="HY94" s="195"/>
      <c r="HZ94" s="195"/>
      <c r="IA94" s="195"/>
      <c r="IB94" s="195"/>
      <c r="IC94" s="195"/>
      <c r="ID94" s="195"/>
      <c r="IE94" s="195"/>
      <c r="IF94" s="195"/>
      <c r="IG94" s="195"/>
      <c r="IH94" s="195"/>
      <c r="II94" s="195"/>
      <c r="IJ94" s="195"/>
      <c r="IK94" s="195"/>
      <c r="IL94" s="195"/>
      <c r="IM94" s="195"/>
      <c r="IN94" s="195"/>
      <c r="IO94" s="195"/>
      <c r="IP94" s="195"/>
      <c r="IQ94" s="195"/>
      <c r="IR94" s="195"/>
      <c r="IS94" s="195"/>
      <c r="IT94" s="195"/>
      <c r="IU94" s="195"/>
      <c r="IV94" s="195"/>
      <c r="IW94" s="195"/>
      <c r="IX94" s="195"/>
      <c r="IY94" s="195"/>
      <c r="IZ94" s="195"/>
      <c r="JA94" s="195"/>
      <c r="JB94" s="195"/>
      <c r="JC94" s="195"/>
      <c r="JD94" s="195"/>
      <c r="JE94" s="195"/>
      <c r="JF94" s="195"/>
      <c r="JG94" s="195"/>
      <c r="JH94" s="195"/>
      <c r="JI94" s="195"/>
      <c r="JJ94" s="195"/>
      <c r="JK94" s="195"/>
      <c r="JL94" s="195"/>
      <c r="JM94" s="195"/>
      <c r="JN94" s="195"/>
      <c r="JO94" s="195"/>
      <c r="JP94" s="195"/>
      <c r="JQ94" s="195"/>
      <c r="JR94" s="195"/>
      <c r="JS94" s="195"/>
      <c r="JT94" s="195"/>
      <c r="JU94" s="195"/>
      <c r="JV94" s="195"/>
      <c r="JW94" s="195"/>
      <c r="JX94" s="195"/>
      <c r="JY94" s="195"/>
      <c r="JZ94" s="195"/>
      <c r="KA94" s="195"/>
      <c r="KB94" s="195"/>
      <c r="KC94" s="195"/>
      <c r="KD94" s="195"/>
      <c r="KE94" s="195"/>
      <c r="KF94" s="195"/>
      <c r="KG94" s="195"/>
      <c r="KH94" s="195"/>
      <c r="KI94" s="195"/>
      <c r="KJ94" s="195"/>
      <c r="KK94" s="195"/>
      <c r="KL94" s="195"/>
      <c r="KM94" s="195"/>
      <c r="KN94" s="195"/>
      <c r="KO94" s="195"/>
      <c r="KP94" s="195"/>
      <c r="KQ94" s="195"/>
      <c r="KR94" s="195"/>
      <c r="KS94" s="195"/>
      <c r="KT94" s="195"/>
      <c r="KU94" s="195"/>
      <c r="KV94" s="195"/>
      <c r="KW94" s="195"/>
      <c r="KX94" s="195"/>
      <c r="KY94" s="195"/>
      <c r="KZ94" s="195"/>
      <c r="LA94" s="195"/>
      <c r="LB94" s="195"/>
      <c r="LC94" s="195"/>
      <c r="LD94" s="195"/>
      <c r="LE94" s="195"/>
      <c r="LF94" s="195"/>
      <c r="LG94" s="195"/>
      <c r="LH94" s="195"/>
      <c r="LI94" s="195"/>
      <c r="LJ94" s="195"/>
      <c r="LK94" s="195"/>
      <c r="LL94" s="195"/>
      <c r="LM94" s="195"/>
      <c r="LN94" s="195"/>
      <c r="LO94" s="195"/>
      <c r="LP94" s="195"/>
      <c r="LQ94" s="195"/>
      <c r="LR94" s="195"/>
      <c r="LS94" s="195"/>
      <c r="LT94" s="195"/>
      <c r="LU94" s="195"/>
      <c r="LV94" s="195"/>
      <c r="LW94" s="195"/>
      <c r="LX94" s="195"/>
      <c r="LY94" s="195"/>
      <c r="LZ94" s="195"/>
      <c r="MA94" s="195"/>
      <c r="MB94" s="195"/>
      <c r="MC94" s="195"/>
      <c r="MD94" s="195"/>
      <c r="ME94" s="195"/>
      <c r="MF94" s="195"/>
      <c r="MG94" s="195"/>
      <c r="MH94" s="195"/>
      <c r="MI94" s="195"/>
      <c r="MJ94" s="195"/>
      <c r="MK94" s="195"/>
      <c r="ML94" s="195"/>
      <c r="MM94" s="195"/>
      <c r="MN94" s="195"/>
      <c r="MO94" s="195"/>
      <c r="MP94" s="195"/>
      <c r="MQ94" s="195"/>
      <c r="MR94" s="195"/>
      <c r="MS94" s="195"/>
      <c r="MT94" s="195"/>
      <c r="MU94" s="195"/>
      <c r="MV94" s="195"/>
      <c r="MW94" s="195"/>
      <c r="MX94" s="195"/>
      <c r="MY94" s="195"/>
      <c r="MZ94" s="195"/>
      <c r="NA94" s="195"/>
      <c r="NB94" s="195"/>
      <c r="NC94" s="195"/>
      <c r="ND94" s="195"/>
      <c r="NE94" s="195"/>
      <c r="NF94" s="195"/>
      <c r="NG94" s="195"/>
      <c r="NH94" s="195"/>
      <c r="NI94" s="195"/>
      <c r="NJ94" s="195"/>
      <c r="NK94" s="195"/>
      <c r="NL94" s="195"/>
      <c r="NM94" s="195"/>
      <c r="NN94" s="195"/>
      <c r="NO94" s="195"/>
      <c r="NP94" s="195"/>
      <c r="NQ94" s="195"/>
      <c r="NR94" s="195"/>
      <c r="NS94" s="195"/>
      <c r="NT94" s="195"/>
      <c r="NU94" s="195"/>
      <c r="NV94" s="195"/>
      <c r="NW94" s="195"/>
      <c r="NX94" s="195"/>
      <c r="NY94" s="195"/>
      <c r="NZ94" s="195"/>
      <c r="OA94" s="195"/>
      <c r="OB94" s="195"/>
      <c r="OC94" s="195"/>
      <c r="OD94" s="195"/>
      <c r="OE94" s="195"/>
      <c r="OF94" s="195"/>
      <c r="OG94" s="195"/>
      <c r="OH94" s="195"/>
      <c r="OI94" s="195"/>
      <c r="OJ94" s="195"/>
      <c r="OK94" s="195"/>
      <c r="OL94" s="195"/>
      <c r="OM94" s="195"/>
      <c r="ON94" s="195"/>
      <c r="OO94" s="195"/>
      <c r="OP94" s="195"/>
      <c r="OQ94" s="195"/>
      <c r="OR94" s="195"/>
      <c r="OS94" s="195"/>
      <c r="OT94" s="195"/>
      <c r="OU94" s="195"/>
      <c r="OV94" s="195"/>
      <c r="OW94" s="195"/>
      <c r="OX94" s="195"/>
      <c r="OY94" s="195"/>
      <c r="OZ94" s="195"/>
      <c r="PA94" s="195"/>
      <c r="PB94" s="195"/>
      <c r="PC94" s="195"/>
      <c r="PD94" s="195"/>
      <c r="PE94" s="195"/>
      <c r="PF94" s="195"/>
      <c r="PG94" s="195"/>
      <c r="PH94" s="195"/>
      <c r="PI94" s="195"/>
      <c r="PJ94" s="195"/>
      <c r="PK94" s="195"/>
      <c r="PL94" s="195"/>
      <c r="PM94" s="195"/>
      <c r="PN94" s="195"/>
      <c r="PO94" s="195"/>
      <c r="PP94" s="195"/>
      <c r="PQ94" s="195"/>
      <c r="PR94" s="195"/>
      <c r="PS94" s="195"/>
      <c r="PT94" s="195"/>
      <c r="PU94" s="195"/>
      <c r="PV94" s="195"/>
      <c r="PW94" s="195"/>
      <c r="PX94" s="195"/>
      <c r="PY94" s="195"/>
      <c r="PZ94" s="195"/>
      <c r="QA94" s="195"/>
      <c r="QB94" s="195"/>
      <c r="QC94" s="195"/>
      <c r="QD94" s="195"/>
      <c r="QE94" s="195"/>
      <c r="QF94" s="195"/>
      <c r="QG94" s="195"/>
      <c r="QH94" s="195"/>
      <c r="QI94" s="195"/>
      <c r="QJ94" s="195"/>
      <c r="QK94" s="195"/>
      <c r="QL94" s="195"/>
      <c r="QM94" s="195"/>
      <c r="QN94" s="195"/>
      <c r="QO94" s="195"/>
      <c r="QP94" s="195"/>
      <c r="QQ94" s="195"/>
      <c r="QR94" s="195"/>
      <c r="QS94" s="195"/>
      <c r="QT94" s="195"/>
      <c r="QU94" s="195"/>
      <c r="QV94" s="195"/>
      <c r="QW94" s="195"/>
      <c r="QX94" s="195"/>
      <c r="QY94" s="195"/>
      <c r="QZ94" s="195"/>
      <c r="RA94" s="195"/>
      <c r="RB94" s="195"/>
      <c r="RC94" s="195"/>
      <c r="RD94" s="195"/>
      <c r="RE94" s="195"/>
      <c r="RF94" s="195"/>
      <c r="RG94" s="195"/>
      <c r="RH94" s="195"/>
      <c r="RI94" s="195"/>
      <c r="RJ94" s="195"/>
      <c r="RK94" s="195"/>
      <c r="RL94" s="195"/>
      <c r="RM94" s="195"/>
      <c r="RN94" s="195"/>
      <c r="RO94" s="195"/>
      <c r="RP94" s="195"/>
      <c r="RQ94" s="195"/>
      <c r="RR94" s="195"/>
      <c r="RS94" s="195"/>
      <c r="RT94" s="195"/>
      <c r="RU94" s="195"/>
      <c r="RV94" s="195"/>
      <c r="RW94" s="195"/>
      <c r="RX94" s="195"/>
      <c r="RY94" s="195"/>
      <c r="RZ94" s="195"/>
      <c r="SA94" s="195"/>
      <c r="SB94" s="195"/>
      <c r="SC94" s="195"/>
      <c r="SD94" s="195"/>
      <c r="SE94" s="195"/>
      <c r="SF94" s="195"/>
      <c r="SG94" s="195"/>
      <c r="SH94" s="195"/>
      <c r="SI94" s="195"/>
      <c r="SJ94" s="195"/>
      <c r="SK94" s="195"/>
      <c r="SL94" s="195"/>
      <c r="SM94" s="195"/>
      <c r="SN94" s="195"/>
      <c r="SO94" s="195"/>
      <c r="SP94" s="195"/>
      <c r="SQ94" s="195"/>
      <c r="SR94" s="195"/>
      <c r="SS94" s="195"/>
      <c r="ST94" s="195"/>
      <c r="SU94" s="195"/>
      <c r="SV94" s="195"/>
      <c r="SW94" s="195"/>
      <c r="SX94" s="195"/>
      <c r="SY94" s="195"/>
      <c r="SZ94" s="195"/>
      <c r="TA94" s="195"/>
      <c r="TB94" s="195"/>
      <c r="TC94" s="195"/>
      <c r="TD94" s="195"/>
      <c r="TE94" s="195"/>
      <c r="TF94" s="195"/>
      <c r="TG94" s="195"/>
      <c r="TH94" s="195"/>
      <c r="TI94" s="195"/>
      <c r="TJ94" s="195"/>
      <c r="TK94" s="195"/>
      <c r="TL94" s="195"/>
      <c r="TM94" s="195"/>
      <c r="TN94" s="195"/>
      <c r="TO94" s="195"/>
      <c r="TP94" s="195"/>
      <c r="TQ94" s="195"/>
      <c r="TR94" s="195"/>
      <c r="TS94" s="195"/>
      <c r="TT94" s="195"/>
      <c r="TU94" s="195"/>
      <c r="TV94" s="195"/>
      <c r="TW94" s="195"/>
      <c r="TX94" s="195"/>
      <c r="TY94" s="195"/>
      <c r="TZ94" s="195"/>
      <c r="UA94" s="195"/>
      <c r="UB94" s="195"/>
      <c r="UC94" s="195"/>
      <c r="UD94" s="195"/>
      <c r="UE94" s="195"/>
      <c r="UF94" s="195"/>
      <c r="UG94" s="195"/>
      <c r="UH94" s="195"/>
      <c r="UI94" s="195"/>
      <c r="UJ94" s="195"/>
      <c r="UK94" s="195"/>
      <c r="UL94" s="195"/>
      <c r="UM94" s="195"/>
      <c r="UN94" s="195"/>
      <c r="UO94" s="195"/>
      <c r="UP94" s="195"/>
      <c r="UQ94" s="195"/>
      <c r="UR94" s="195"/>
      <c r="US94" s="195"/>
      <c r="UT94" s="195"/>
      <c r="UU94" s="195"/>
      <c r="UV94" s="195"/>
      <c r="UW94" s="195"/>
      <c r="UX94" s="195"/>
      <c r="UY94" s="195"/>
      <c r="UZ94" s="195"/>
      <c r="VA94" s="195"/>
      <c r="VB94" s="195"/>
      <c r="VC94" s="195"/>
      <c r="VD94" s="195"/>
      <c r="VE94" s="195"/>
      <c r="VF94" s="195"/>
      <c r="VG94" s="195"/>
      <c r="VH94" s="195"/>
      <c r="VI94" s="195"/>
      <c r="VJ94" s="195"/>
      <c r="VK94" s="195"/>
      <c r="VL94" s="195"/>
      <c r="VM94" s="195"/>
      <c r="VN94" s="195"/>
      <c r="VO94" s="195"/>
      <c r="VP94" s="195"/>
      <c r="VQ94" s="195"/>
      <c r="VR94" s="195"/>
      <c r="VS94" s="195"/>
      <c r="VT94" s="195"/>
      <c r="VU94" s="195"/>
      <c r="VV94" s="195"/>
      <c r="VW94" s="195"/>
      <c r="VX94" s="195"/>
      <c r="VY94" s="195"/>
      <c r="VZ94" s="195"/>
      <c r="WA94" s="195"/>
      <c r="WB94" s="195"/>
      <c r="WC94" s="195"/>
      <c r="WD94" s="195"/>
      <c r="WE94" s="195"/>
      <c r="WF94" s="195"/>
      <c r="WG94" s="195"/>
      <c r="WH94" s="195"/>
      <c r="WI94" s="195"/>
      <c r="WJ94" s="195"/>
      <c r="WK94" s="195"/>
      <c r="WL94" s="195"/>
      <c r="WM94" s="195"/>
      <c r="WN94" s="195"/>
      <c r="WO94" s="195"/>
      <c r="WP94" s="195"/>
      <c r="WQ94" s="195"/>
      <c r="WR94" s="195"/>
      <c r="WS94" s="195"/>
      <c r="WT94" s="195"/>
      <c r="WU94" s="195"/>
      <c r="WV94" s="195"/>
      <c r="WW94" s="195"/>
      <c r="WX94" s="195"/>
      <c r="WY94" s="195"/>
      <c r="WZ94" s="195"/>
      <c r="XA94" s="195"/>
      <c r="XB94" s="195"/>
      <c r="XC94" s="195"/>
      <c r="XD94" s="195"/>
      <c r="XE94" s="195"/>
      <c r="XF94" s="195"/>
      <c r="XG94" s="195"/>
      <c r="XH94" s="195"/>
      <c r="XI94" s="195"/>
      <c r="XJ94" s="195"/>
      <c r="XK94" s="195"/>
      <c r="XL94" s="195"/>
      <c r="XM94" s="195"/>
      <c r="XN94" s="195"/>
      <c r="XO94" s="195"/>
      <c r="XP94" s="195"/>
      <c r="XQ94" s="195"/>
      <c r="XR94" s="195"/>
      <c r="XS94" s="195"/>
      <c r="XT94" s="195"/>
      <c r="XU94" s="195"/>
      <c r="XV94" s="195"/>
      <c r="XW94" s="195"/>
      <c r="XX94" s="195"/>
      <c r="XY94" s="195"/>
      <c r="XZ94" s="195"/>
      <c r="YA94" s="195"/>
      <c r="YB94" s="195"/>
      <c r="YC94" s="195"/>
      <c r="YD94" s="195"/>
      <c r="YE94" s="195"/>
      <c r="YF94" s="195"/>
      <c r="YG94" s="195"/>
      <c r="YH94" s="195"/>
      <c r="YI94" s="195"/>
      <c r="YJ94" s="195"/>
      <c r="YK94" s="195"/>
      <c r="YL94" s="195"/>
      <c r="YM94" s="195"/>
      <c r="YN94" s="195"/>
      <c r="YO94" s="195"/>
      <c r="YP94" s="195"/>
      <c r="YQ94" s="195"/>
      <c r="YR94" s="195"/>
      <c r="YS94" s="195"/>
      <c r="YT94" s="195"/>
      <c r="YU94" s="195"/>
      <c r="YV94" s="195"/>
      <c r="YW94" s="195"/>
      <c r="YX94" s="195"/>
      <c r="YY94" s="195"/>
      <c r="YZ94" s="195"/>
      <c r="ZA94" s="195"/>
      <c r="ZB94" s="195"/>
      <c r="ZC94" s="195"/>
      <c r="ZD94" s="195"/>
      <c r="ZE94" s="195"/>
      <c r="ZF94" s="195"/>
      <c r="ZG94" s="195"/>
      <c r="ZH94" s="195"/>
      <c r="ZI94" s="195"/>
      <c r="ZJ94" s="195"/>
      <c r="ZK94" s="195"/>
      <c r="ZL94" s="195"/>
      <c r="ZM94" s="195"/>
      <c r="ZN94" s="195"/>
      <c r="ZO94" s="195"/>
      <c r="ZP94" s="195"/>
      <c r="ZQ94" s="195"/>
      <c r="ZR94" s="195"/>
      <c r="ZS94" s="195"/>
      <c r="ZT94" s="195"/>
      <c r="ZU94" s="195"/>
      <c r="ZV94" s="195"/>
      <c r="ZW94" s="195"/>
      <c r="ZX94" s="195"/>
      <c r="ZY94" s="195"/>
      <c r="ZZ94" s="195"/>
      <c r="AAA94" s="195"/>
      <c r="AAB94" s="195"/>
      <c r="AAC94" s="195"/>
      <c r="AAD94" s="195"/>
      <c r="AAE94" s="195"/>
      <c r="AAF94" s="195"/>
      <c r="AAG94" s="195"/>
      <c r="AAH94" s="195"/>
      <c r="AAI94" s="195"/>
      <c r="AAJ94" s="195"/>
      <c r="AAK94" s="195"/>
      <c r="AAL94" s="195"/>
      <c r="AAM94" s="195"/>
      <c r="AAN94" s="195"/>
      <c r="AAO94" s="195"/>
      <c r="AAP94" s="195"/>
      <c r="AAQ94" s="195"/>
      <c r="AAR94" s="195"/>
      <c r="AAS94" s="195"/>
      <c r="AAT94" s="195"/>
      <c r="AAU94" s="195"/>
      <c r="AAV94" s="195"/>
      <c r="AAW94" s="195"/>
      <c r="AAX94" s="195"/>
      <c r="AAY94" s="195"/>
      <c r="AAZ94" s="195"/>
      <c r="ABA94" s="195"/>
      <c r="ABB94" s="195"/>
      <c r="ABC94" s="195"/>
      <c r="ABD94" s="195"/>
      <c r="ABE94" s="195"/>
      <c r="ABF94" s="195"/>
      <c r="ABG94" s="195"/>
      <c r="ABH94" s="195"/>
      <c r="ABI94" s="195"/>
      <c r="ABJ94" s="195"/>
      <c r="ABK94" s="195"/>
      <c r="ABL94" s="195"/>
      <c r="ABM94" s="195"/>
      <c r="ABN94" s="195"/>
      <c r="ABO94" s="195"/>
      <c r="ABP94" s="195"/>
      <c r="ABQ94" s="195"/>
      <c r="ABR94" s="195"/>
      <c r="ABS94" s="195"/>
      <c r="ABT94" s="195"/>
      <c r="ABU94" s="195"/>
      <c r="ABV94" s="195"/>
      <c r="ABW94" s="195"/>
      <c r="ABX94" s="195"/>
      <c r="ABY94" s="195"/>
      <c r="ABZ94" s="195"/>
      <c r="ACA94" s="195"/>
      <c r="ACB94" s="195"/>
      <c r="ACC94" s="195"/>
      <c r="ACD94" s="195"/>
      <c r="ACE94" s="195"/>
      <c r="ACF94" s="195"/>
      <c r="ACG94" s="195"/>
      <c r="ACH94" s="195"/>
      <c r="ACI94" s="195"/>
      <c r="ACJ94" s="195"/>
      <c r="ACK94" s="195"/>
      <c r="ACL94" s="195"/>
      <c r="ACM94" s="195"/>
      <c r="ACN94" s="195"/>
      <c r="ACO94" s="195"/>
      <c r="ACP94" s="195"/>
      <c r="ACQ94" s="195"/>
      <c r="ACR94" s="195"/>
      <c r="ACS94" s="195"/>
      <c r="ACT94" s="195"/>
      <c r="ACU94" s="195"/>
      <c r="ACV94" s="195"/>
      <c r="ACW94" s="195"/>
      <c r="ACX94" s="195"/>
      <c r="ACY94" s="195"/>
      <c r="ACZ94" s="195"/>
      <c r="ADA94" s="195"/>
      <c r="ADB94" s="195"/>
      <c r="ADC94" s="195"/>
      <c r="ADD94" s="195"/>
      <c r="ADE94" s="195"/>
      <c r="ADF94" s="195"/>
      <c r="ADG94" s="195"/>
      <c r="ADH94" s="195"/>
      <c r="ADI94" s="195"/>
      <c r="ADJ94" s="195"/>
      <c r="ADK94" s="195"/>
      <c r="ADL94" s="195"/>
      <c r="ADM94" s="195"/>
      <c r="ADN94" s="195"/>
      <c r="ADO94" s="195"/>
      <c r="ADP94" s="195"/>
      <c r="ADQ94" s="195"/>
      <c r="ADR94" s="195"/>
      <c r="ADS94" s="195"/>
      <c r="ADT94" s="195"/>
      <c r="ADU94" s="195"/>
      <c r="ADV94" s="195"/>
      <c r="ADW94" s="195"/>
      <c r="ADX94" s="195"/>
      <c r="ADY94" s="195"/>
      <c r="ADZ94" s="195"/>
      <c r="AEA94" s="195"/>
      <c r="AEB94" s="195"/>
      <c r="AEC94" s="195"/>
      <c r="AED94" s="195"/>
      <c r="AEE94" s="195"/>
      <c r="AEF94" s="195"/>
      <c r="AEG94" s="195"/>
      <c r="AEH94" s="195"/>
      <c r="AEI94" s="195"/>
      <c r="AEJ94" s="195"/>
      <c r="AEK94" s="195"/>
      <c r="AEL94" s="195"/>
      <c r="AEM94" s="195"/>
      <c r="AEN94" s="195"/>
      <c r="AEO94" s="195"/>
      <c r="AEP94" s="195"/>
      <c r="AEQ94" s="195"/>
      <c r="AER94" s="195"/>
      <c r="AES94" s="195"/>
      <c r="AET94" s="195"/>
      <c r="AEU94" s="195"/>
      <c r="AEV94" s="195"/>
      <c r="AEW94" s="195"/>
      <c r="AEX94" s="195"/>
      <c r="AEY94" s="195"/>
      <c r="AEZ94" s="195"/>
      <c r="AFA94" s="195"/>
      <c r="AFB94" s="195"/>
      <c r="AFC94" s="195"/>
      <c r="AFD94" s="195"/>
      <c r="AFE94" s="195"/>
      <c r="AFF94" s="195"/>
      <c r="AFG94" s="195"/>
      <c r="AFH94" s="195"/>
      <c r="AFI94" s="195"/>
      <c r="AFJ94" s="195"/>
      <c r="AFK94" s="195"/>
      <c r="AFL94" s="195"/>
      <c r="AFM94" s="195"/>
      <c r="AFN94" s="195"/>
      <c r="AFO94" s="195"/>
      <c r="AFP94" s="195"/>
      <c r="AFQ94" s="195"/>
      <c r="AFR94" s="195"/>
      <c r="AFS94" s="195"/>
      <c r="AFT94" s="195"/>
      <c r="AFU94" s="195"/>
      <c r="AFV94" s="195"/>
      <c r="AFW94" s="195"/>
      <c r="AFX94" s="195"/>
      <c r="AFY94" s="195"/>
      <c r="AFZ94" s="195"/>
      <c r="AGA94" s="195"/>
      <c r="AGB94" s="195"/>
      <c r="AGC94" s="195"/>
      <c r="AGD94" s="195"/>
      <c r="AGE94" s="195"/>
      <c r="AGF94" s="195"/>
      <c r="AGG94" s="195"/>
      <c r="AGH94" s="195"/>
      <c r="AGI94" s="195"/>
      <c r="AGJ94" s="195"/>
      <c r="AGK94" s="195"/>
      <c r="AGL94" s="195"/>
      <c r="AGM94" s="195"/>
      <c r="AGN94" s="195"/>
      <c r="AGO94" s="195"/>
      <c r="AGP94" s="195"/>
      <c r="AGQ94" s="195"/>
      <c r="AGR94" s="195"/>
      <c r="AGS94" s="195"/>
      <c r="AGT94" s="195"/>
      <c r="AGU94" s="195"/>
      <c r="AGV94" s="195"/>
      <c r="AGW94" s="195"/>
      <c r="AGX94" s="195"/>
      <c r="AGY94" s="195"/>
      <c r="AGZ94" s="195"/>
      <c r="AHA94" s="195"/>
      <c r="AHB94" s="195"/>
      <c r="AHC94" s="195"/>
      <c r="AHD94" s="195"/>
      <c r="AHE94" s="195"/>
      <c r="AHF94" s="195"/>
      <c r="AHG94" s="195"/>
      <c r="AHH94" s="195"/>
      <c r="AHI94" s="195"/>
      <c r="AHJ94" s="195"/>
      <c r="AHK94" s="195"/>
      <c r="AHL94" s="195"/>
      <c r="AHM94" s="195"/>
      <c r="AHN94" s="195"/>
      <c r="AHO94" s="195"/>
      <c r="AHP94" s="195"/>
      <c r="AHQ94" s="195"/>
      <c r="AHR94" s="195"/>
      <c r="AHS94" s="195"/>
      <c r="AHT94" s="195"/>
      <c r="AHU94" s="195"/>
      <c r="AHV94" s="195"/>
      <c r="AHW94" s="195"/>
      <c r="AHX94" s="195"/>
      <c r="AHY94" s="195"/>
      <c r="AHZ94" s="195"/>
      <c r="AIA94" s="195"/>
      <c r="AIB94" s="195"/>
      <c r="AIC94" s="195"/>
      <c r="AID94" s="195"/>
      <c r="AIE94" s="195"/>
      <c r="AIF94" s="195"/>
      <c r="AIG94" s="195"/>
      <c r="AIH94" s="195"/>
      <c r="AII94" s="195"/>
      <c r="AIJ94" s="195"/>
      <c r="AIK94" s="195"/>
      <c r="AIL94" s="195"/>
      <c r="AIM94" s="195"/>
      <c r="AIN94" s="195"/>
      <c r="AIO94" s="195"/>
      <c r="AIP94" s="195"/>
      <c r="AIQ94" s="195"/>
      <c r="AIR94" s="195"/>
      <c r="AIS94" s="195"/>
      <c r="AIT94" s="195"/>
      <c r="AIU94" s="195"/>
      <c r="AIV94" s="195"/>
      <c r="AIW94" s="195"/>
      <c r="AIX94" s="195"/>
      <c r="AIY94" s="195"/>
      <c r="AIZ94" s="195"/>
      <c r="AJA94" s="195"/>
      <c r="AJB94" s="195"/>
      <c r="AJC94" s="195"/>
      <c r="AJD94" s="195"/>
      <c r="AJE94" s="195"/>
      <c r="AJF94" s="195"/>
      <c r="AJG94" s="195"/>
      <c r="AJH94" s="195"/>
      <c r="AJI94" s="195"/>
      <c r="AJJ94" s="195"/>
      <c r="AJK94" s="195"/>
      <c r="AJL94" s="195"/>
      <c r="AJM94" s="195"/>
      <c r="AJN94" s="195"/>
      <c r="AJO94" s="195"/>
      <c r="AJP94" s="195"/>
      <c r="AJQ94" s="195"/>
      <c r="AJR94" s="195"/>
      <c r="AJS94" s="195"/>
      <c r="AJT94" s="195"/>
      <c r="AJU94" s="195"/>
      <c r="AJV94" s="195"/>
      <c r="AJW94" s="195"/>
      <c r="AJX94" s="195"/>
      <c r="AJY94" s="195"/>
      <c r="AJZ94" s="195"/>
      <c r="AKA94" s="195"/>
      <c r="AKB94" s="195"/>
      <c r="AKC94" s="195"/>
      <c r="AKD94" s="195"/>
      <c r="AKE94" s="195"/>
      <c r="AKF94" s="195"/>
      <c r="AKG94" s="195"/>
      <c r="AKH94" s="195"/>
      <c r="AKI94" s="195"/>
      <c r="AKJ94" s="195"/>
      <c r="AKK94" s="195"/>
      <c r="AKL94" s="195"/>
      <c r="AKM94" s="195"/>
      <c r="AKN94" s="195"/>
      <c r="AKO94" s="195"/>
      <c r="AKP94" s="195"/>
      <c r="AKQ94" s="195"/>
      <c r="AKR94" s="195"/>
      <c r="AKS94" s="195"/>
      <c r="AKT94" s="195"/>
      <c r="AKU94" s="195"/>
      <c r="AKV94" s="195"/>
      <c r="AKW94" s="195"/>
      <c r="AKX94" s="195"/>
      <c r="AKY94" s="195"/>
      <c r="AKZ94" s="195"/>
      <c r="ALA94" s="195"/>
      <c r="ALB94" s="195"/>
      <c r="ALC94" s="195"/>
      <c r="ALD94" s="195"/>
      <c r="ALE94" s="195"/>
      <c r="ALF94" s="195"/>
      <c r="ALG94" s="195"/>
      <c r="ALH94" s="195"/>
      <c r="ALI94" s="195"/>
      <c r="ALJ94" s="195"/>
      <c r="ALK94" s="195"/>
      <c r="ALL94" s="195"/>
      <c r="ALM94" s="195"/>
      <c r="ALN94" s="195"/>
      <c r="ALO94" s="195"/>
      <c r="ALP94" s="195"/>
      <c r="ALQ94" s="195"/>
      <c r="ALR94" s="195"/>
      <c r="ALS94" s="195"/>
      <c r="ALT94" s="195"/>
      <c r="ALU94" s="195"/>
      <c r="ALV94" s="195"/>
      <c r="ALW94" s="195"/>
      <c r="ALX94" s="195"/>
      <c r="ALY94" s="195"/>
      <c r="ALZ94" s="195"/>
      <c r="AMA94" s="195"/>
      <c r="AMB94" s="195"/>
      <c r="AMC94" s="195"/>
      <c r="AMD94" s="195"/>
      <c r="AME94" s="195"/>
      <c r="AMF94" s="195"/>
      <c r="AMG94" s="195"/>
      <c r="AMH94" s="195"/>
      <c r="AMI94" s="195"/>
      <c r="AMJ94" s="195"/>
      <c r="AMK94" s="195"/>
      <c r="AML94" s="195"/>
      <c r="AMM94" s="195"/>
      <c r="AMN94" s="195"/>
      <c r="AMO94" s="195"/>
      <c r="AMP94" s="195"/>
      <c r="AMQ94" s="195"/>
      <c r="AMR94" s="195"/>
      <c r="AMS94" s="195"/>
      <c r="AMT94" s="195"/>
      <c r="AMU94" s="195"/>
      <c r="AMV94" s="195"/>
      <c r="AMW94" s="195"/>
      <c r="AMX94" s="195"/>
      <c r="AMY94" s="195"/>
      <c r="AMZ94" s="195"/>
      <c r="ANA94" s="195"/>
      <c r="ANB94" s="195"/>
      <c r="ANC94" s="195"/>
      <c r="AND94" s="195"/>
      <c r="ANE94" s="195"/>
      <c r="ANF94" s="195"/>
      <c r="ANG94" s="195"/>
      <c r="ANH94" s="195"/>
      <c r="ANI94" s="195"/>
      <c r="ANJ94" s="195"/>
      <c r="ANK94" s="195"/>
      <c r="ANL94" s="195"/>
      <c r="ANM94" s="195"/>
      <c r="ANN94" s="195"/>
      <c r="ANO94" s="195"/>
      <c r="ANP94" s="195"/>
      <c r="ANQ94" s="195"/>
      <c r="ANR94" s="195"/>
      <c r="ANS94" s="195"/>
      <c r="ANT94" s="195"/>
      <c r="ANU94" s="195"/>
      <c r="ANV94" s="195"/>
      <c r="ANW94" s="195"/>
      <c r="ANX94" s="195"/>
      <c r="ANY94" s="195"/>
      <c r="ANZ94" s="195"/>
      <c r="AOA94" s="195"/>
      <c r="AOB94" s="195"/>
      <c r="AOC94" s="195"/>
      <c r="AOD94" s="195"/>
      <c r="AOE94" s="195"/>
      <c r="AOF94" s="195"/>
      <c r="AOG94" s="195"/>
      <c r="AOH94" s="195"/>
      <c r="AOI94" s="195"/>
      <c r="AOJ94" s="195"/>
      <c r="AOK94" s="195"/>
      <c r="AOL94" s="195"/>
      <c r="AOM94" s="195"/>
      <c r="AON94" s="195"/>
      <c r="AOO94" s="195"/>
      <c r="AOP94" s="195"/>
      <c r="AOQ94" s="195"/>
      <c r="AOR94" s="195"/>
      <c r="AOS94" s="195"/>
      <c r="AOT94" s="195"/>
      <c r="AOU94" s="195"/>
      <c r="AOV94" s="195"/>
      <c r="AOW94" s="195"/>
      <c r="AOX94" s="195"/>
      <c r="AOY94" s="195"/>
      <c r="AOZ94" s="195"/>
      <c r="APA94" s="195"/>
      <c r="APB94" s="195"/>
      <c r="APC94" s="195"/>
      <c r="APD94" s="195"/>
      <c r="APE94" s="195"/>
      <c r="APF94" s="195"/>
      <c r="APG94" s="195"/>
      <c r="APH94" s="195"/>
      <c r="API94" s="195"/>
      <c r="APJ94" s="195"/>
      <c r="APK94" s="195"/>
      <c r="APL94" s="195"/>
      <c r="APM94" s="195"/>
      <c r="APN94" s="195"/>
      <c r="APO94" s="195"/>
      <c r="APP94" s="195"/>
      <c r="APQ94" s="195"/>
      <c r="APR94" s="195"/>
      <c r="APS94" s="195"/>
      <c r="APT94" s="195"/>
      <c r="APU94" s="195"/>
      <c r="APV94" s="195"/>
      <c r="APW94" s="195"/>
      <c r="APX94" s="195"/>
      <c r="APY94" s="195"/>
      <c r="APZ94" s="195"/>
      <c r="AQA94" s="195"/>
      <c r="AQB94" s="195"/>
      <c r="AQC94" s="195"/>
      <c r="AQD94" s="195"/>
      <c r="AQE94" s="195"/>
      <c r="AQF94" s="195"/>
      <c r="AQG94" s="195"/>
      <c r="AQH94" s="195"/>
      <c r="AQI94" s="195"/>
      <c r="AQJ94" s="195"/>
      <c r="AQK94" s="195"/>
      <c r="AQL94" s="195"/>
      <c r="AQM94" s="195"/>
      <c r="AQN94" s="195"/>
      <c r="AQO94" s="195"/>
      <c r="AQP94" s="195"/>
      <c r="AQQ94" s="195"/>
      <c r="AQR94" s="195"/>
      <c r="AQS94" s="195"/>
      <c r="AQT94" s="195"/>
      <c r="AQU94" s="195"/>
      <c r="AQV94" s="195"/>
      <c r="AQW94" s="195"/>
      <c r="AQX94" s="195"/>
      <c r="AQY94" s="195"/>
      <c r="AQZ94" s="195"/>
      <c r="ARA94" s="195"/>
      <c r="ARB94" s="195"/>
      <c r="ARC94" s="195"/>
      <c r="ARD94" s="195"/>
      <c r="ARE94" s="195"/>
      <c r="ARF94" s="195"/>
      <c r="ARG94" s="195"/>
      <c r="ARH94" s="195"/>
      <c r="ARI94" s="195"/>
      <c r="ARJ94" s="195"/>
      <c r="ARK94" s="195"/>
      <c r="ARL94" s="195"/>
      <c r="ARM94" s="195"/>
      <c r="ARN94" s="195"/>
      <c r="ARO94" s="195"/>
      <c r="ARP94" s="195"/>
      <c r="ARQ94" s="195"/>
      <c r="ARR94" s="195"/>
      <c r="ARS94" s="195"/>
      <c r="ART94" s="195"/>
      <c r="ARU94" s="195"/>
      <c r="ARV94" s="195"/>
      <c r="ARW94" s="195"/>
      <c r="ARX94" s="195"/>
      <c r="ARY94" s="195"/>
      <c r="ARZ94" s="195"/>
      <c r="ASA94" s="195"/>
      <c r="ASB94" s="195"/>
      <c r="ASC94" s="195"/>
      <c r="ASD94" s="195"/>
      <c r="ASE94" s="195"/>
      <c r="ASF94" s="195"/>
      <c r="ASG94" s="195"/>
      <c r="ASH94" s="195"/>
      <c r="ASI94" s="195"/>
      <c r="ASJ94" s="195"/>
      <c r="ASK94" s="195"/>
      <c r="ASL94" s="195"/>
      <c r="ASM94" s="195"/>
      <c r="ASN94" s="195"/>
      <c r="ASO94" s="195"/>
      <c r="ASP94" s="195"/>
      <c r="ASQ94" s="195"/>
      <c r="ASR94" s="195"/>
      <c r="ASS94" s="195"/>
      <c r="AST94" s="195"/>
      <c r="ASU94" s="195"/>
      <c r="ASV94" s="195"/>
      <c r="ASW94" s="195"/>
      <c r="ASX94" s="195"/>
      <c r="ASY94" s="195"/>
      <c r="ASZ94" s="195"/>
      <c r="ATA94" s="195"/>
      <c r="ATB94" s="195"/>
      <c r="ATC94" s="195"/>
      <c r="ATD94" s="195"/>
      <c r="ATE94" s="195"/>
      <c r="ATF94" s="195"/>
      <c r="ATG94" s="195"/>
      <c r="ATH94" s="195"/>
      <c r="ATI94" s="195"/>
      <c r="ATJ94" s="195"/>
      <c r="ATK94" s="195"/>
      <c r="ATL94" s="195"/>
      <c r="ATM94" s="195"/>
      <c r="ATN94" s="195"/>
      <c r="ATO94" s="195"/>
      <c r="ATP94" s="195"/>
      <c r="ATQ94" s="195"/>
      <c r="ATR94" s="195"/>
      <c r="ATS94" s="195"/>
      <c r="ATT94" s="195"/>
      <c r="ATU94" s="195"/>
      <c r="ATV94" s="195"/>
      <c r="ATW94" s="195"/>
      <c r="ATX94" s="195"/>
      <c r="ATY94" s="195"/>
      <c r="ATZ94" s="195"/>
      <c r="AUA94" s="195"/>
      <c r="AUB94" s="195"/>
      <c r="AUC94" s="195"/>
      <c r="AUD94" s="195"/>
      <c r="AUE94" s="195"/>
      <c r="AUF94" s="195"/>
      <c r="AUG94" s="195"/>
      <c r="AUH94" s="195"/>
      <c r="AUI94" s="195"/>
      <c r="AUJ94" s="195"/>
      <c r="AUK94" s="195"/>
      <c r="AUL94" s="195"/>
      <c r="AUM94" s="195"/>
      <c r="AUN94" s="195"/>
      <c r="AUO94" s="195"/>
      <c r="AUP94" s="195"/>
      <c r="AUQ94" s="195"/>
      <c r="AUR94" s="195"/>
      <c r="AUS94" s="195"/>
      <c r="AUT94" s="195"/>
      <c r="AUU94" s="195"/>
      <c r="AUV94" s="195"/>
      <c r="AUW94" s="195"/>
      <c r="AUX94" s="195"/>
      <c r="AUY94" s="195"/>
      <c r="AUZ94" s="195"/>
      <c r="AVA94" s="195"/>
      <c r="AVB94" s="195"/>
      <c r="AVC94" s="195"/>
      <c r="AVD94" s="195"/>
      <c r="AVE94" s="195"/>
      <c r="AVF94" s="195"/>
      <c r="AVG94" s="195"/>
      <c r="AVH94" s="195"/>
      <c r="AVI94" s="195"/>
      <c r="AVJ94" s="195"/>
      <c r="AVK94" s="195"/>
      <c r="AVL94" s="195"/>
      <c r="AVM94" s="195"/>
      <c r="AVN94" s="195"/>
      <c r="AVO94" s="195"/>
      <c r="AVP94" s="195"/>
      <c r="AVQ94" s="195"/>
      <c r="AVR94" s="195"/>
      <c r="AVS94" s="195"/>
      <c r="AVT94" s="195"/>
      <c r="AVU94" s="195"/>
      <c r="AVV94" s="195"/>
      <c r="AVW94" s="195"/>
      <c r="AVX94" s="195"/>
      <c r="AVY94" s="195"/>
      <c r="AVZ94" s="195"/>
      <c r="AWA94" s="195"/>
      <c r="AWB94" s="195"/>
      <c r="AWC94" s="195"/>
      <c r="AWD94" s="195"/>
      <c r="AWE94" s="195"/>
      <c r="AWF94" s="195"/>
      <c r="AWG94" s="195"/>
      <c r="AWH94" s="195"/>
      <c r="AWI94" s="195"/>
      <c r="AWJ94" s="195"/>
      <c r="AWK94" s="195"/>
      <c r="AWL94" s="195"/>
      <c r="AWM94" s="195"/>
      <c r="AWN94" s="195"/>
      <c r="AWO94" s="195"/>
      <c r="AWP94" s="195"/>
      <c r="AWQ94" s="195"/>
      <c r="AWR94" s="195"/>
      <c r="AWS94" s="195"/>
      <c r="AWT94" s="195"/>
      <c r="AWU94" s="195"/>
      <c r="AWV94" s="195"/>
      <c r="AWW94" s="195"/>
      <c r="AWX94" s="195"/>
      <c r="AWY94" s="195"/>
      <c r="AWZ94" s="195"/>
      <c r="AXA94" s="195"/>
      <c r="AXB94" s="195"/>
      <c r="AXC94" s="195"/>
      <c r="AXD94" s="195"/>
      <c r="AXE94" s="195"/>
      <c r="AXF94" s="195"/>
      <c r="AXG94" s="195"/>
      <c r="AXH94" s="195"/>
      <c r="AXI94" s="195"/>
      <c r="AXJ94" s="195"/>
      <c r="AXK94" s="195"/>
      <c r="AXL94" s="195"/>
      <c r="AXM94" s="195"/>
      <c r="AXN94" s="195"/>
      <c r="AXO94" s="195"/>
      <c r="AXP94" s="195"/>
      <c r="AXQ94" s="195"/>
      <c r="AXR94" s="195"/>
      <c r="AXS94" s="195"/>
      <c r="AXT94" s="195"/>
      <c r="AXU94" s="195"/>
      <c r="AXV94" s="195"/>
      <c r="AXW94" s="195"/>
      <c r="AXX94" s="195"/>
      <c r="AXY94" s="195"/>
      <c r="AXZ94" s="195"/>
      <c r="AYA94" s="195"/>
      <c r="AYB94" s="195"/>
      <c r="AYC94" s="195"/>
      <c r="AYD94" s="195"/>
      <c r="AYE94" s="195"/>
      <c r="AYF94" s="195"/>
      <c r="AYG94" s="195"/>
      <c r="AYH94" s="195"/>
      <c r="AYI94" s="195"/>
      <c r="AYJ94" s="195"/>
      <c r="AYK94" s="195"/>
      <c r="AYL94" s="195"/>
      <c r="AYM94" s="195"/>
      <c r="AYN94" s="195"/>
      <c r="AYO94" s="195"/>
      <c r="AYP94" s="195"/>
      <c r="AYQ94" s="195"/>
      <c r="AYR94" s="195"/>
      <c r="AYS94" s="195"/>
      <c r="AYT94" s="195"/>
      <c r="AYU94" s="195"/>
      <c r="AYV94" s="195"/>
      <c r="AYW94" s="195"/>
      <c r="AYX94" s="195"/>
      <c r="AYY94" s="195"/>
      <c r="AYZ94" s="195"/>
      <c r="AZA94" s="195"/>
      <c r="AZB94" s="195"/>
      <c r="AZC94" s="195"/>
      <c r="AZD94" s="195"/>
      <c r="AZE94" s="195"/>
      <c r="AZF94" s="195"/>
      <c r="AZG94" s="195"/>
      <c r="AZH94" s="195"/>
      <c r="AZI94" s="195"/>
      <c r="AZJ94" s="195"/>
      <c r="AZK94" s="195"/>
      <c r="AZL94" s="195"/>
      <c r="AZM94" s="195"/>
      <c r="AZN94" s="195"/>
      <c r="AZO94" s="195"/>
      <c r="AZP94" s="195"/>
      <c r="AZQ94" s="195"/>
      <c r="AZR94" s="195"/>
      <c r="AZS94" s="195"/>
      <c r="AZT94" s="195"/>
      <c r="AZU94" s="195"/>
      <c r="AZV94" s="195"/>
      <c r="AZW94" s="195"/>
      <c r="AZX94" s="195"/>
      <c r="AZY94" s="195"/>
      <c r="AZZ94" s="195"/>
      <c r="BAA94" s="195"/>
      <c r="BAB94" s="195"/>
      <c r="BAC94" s="195"/>
      <c r="BAD94" s="195"/>
      <c r="BAE94" s="195"/>
      <c r="BAF94" s="195"/>
      <c r="BAG94" s="195"/>
      <c r="BAH94" s="195"/>
      <c r="BAI94" s="195"/>
      <c r="BAJ94" s="195"/>
      <c r="BAK94" s="195"/>
      <c r="BAL94" s="195"/>
      <c r="BAM94" s="195"/>
      <c r="BAN94" s="195"/>
      <c r="BAO94" s="195"/>
      <c r="BAP94" s="195"/>
      <c r="BAQ94" s="195"/>
      <c r="BAR94" s="195"/>
      <c r="BAS94" s="195"/>
      <c r="BAT94" s="195"/>
      <c r="BAU94" s="195"/>
      <c r="BAV94" s="195"/>
      <c r="BAW94" s="195"/>
      <c r="BAX94" s="195"/>
      <c r="BAY94" s="195"/>
      <c r="BAZ94" s="195"/>
      <c r="BBA94" s="195"/>
      <c r="BBB94" s="195"/>
      <c r="BBC94" s="195"/>
      <c r="BBD94" s="195"/>
      <c r="BBE94" s="195"/>
      <c r="BBF94" s="195"/>
      <c r="BBG94" s="195"/>
      <c r="BBH94" s="195"/>
      <c r="BBI94" s="195"/>
      <c r="BBJ94" s="195"/>
      <c r="BBK94" s="195"/>
      <c r="BBL94" s="195"/>
      <c r="BBM94" s="195"/>
      <c r="BBN94" s="195"/>
      <c r="BBO94" s="195"/>
      <c r="BBP94" s="195"/>
      <c r="BBQ94" s="195"/>
      <c r="BBR94" s="195"/>
      <c r="BBS94" s="195"/>
      <c r="BBT94" s="195"/>
      <c r="BBU94" s="195"/>
      <c r="BBV94" s="195"/>
      <c r="BBW94" s="195"/>
      <c r="BBX94" s="195"/>
      <c r="BBY94" s="195"/>
      <c r="BBZ94" s="195"/>
      <c r="BCA94" s="195"/>
      <c r="BCB94" s="195"/>
      <c r="BCC94" s="195"/>
      <c r="BCD94" s="195"/>
      <c r="BCE94" s="195"/>
      <c r="BCF94" s="195"/>
      <c r="BCG94" s="195"/>
      <c r="BCH94" s="195"/>
      <c r="BCI94" s="195"/>
      <c r="BCJ94" s="195"/>
      <c r="BCK94" s="195"/>
      <c r="BCL94" s="195"/>
      <c r="BCM94" s="195"/>
      <c r="BCN94" s="195"/>
      <c r="BCO94" s="195"/>
      <c r="BCP94" s="195"/>
      <c r="BCQ94" s="195"/>
      <c r="BCR94" s="195"/>
      <c r="BCS94" s="195"/>
      <c r="BCT94" s="195"/>
      <c r="BCU94" s="195"/>
      <c r="BCV94" s="195"/>
      <c r="BCW94" s="195"/>
      <c r="BCX94" s="195"/>
      <c r="BCY94" s="195"/>
      <c r="BCZ94" s="195"/>
      <c r="BDA94" s="195"/>
      <c r="BDB94" s="195"/>
      <c r="BDC94" s="195"/>
      <c r="BDD94" s="195"/>
      <c r="BDE94" s="195"/>
      <c r="BDF94" s="195"/>
      <c r="BDG94" s="195"/>
      <c r="BDH94" s="195"/>
      <c r="BDI94" s="195"/>
      <c r="BDJ94" s="195"/>
      <c r="BDK94" s="195"/>
      <c r="BDL94" s="195"/>
      <c r="BDM94" s="195"/>
      <c r="BDN94" s="195"/>
      <c r="BDO94" s="195"/>
      <c r="BDP94" s="195"/>
      <c r="BDQ94" s="195"/>
      <c r="BDR94" s="195"/>
      <c r="BDS94" s="195"/>
      <c r="BDT94" s="195"/>
      <c r="BDU94" s="195"/>
      <c r="BDV94" s="195"/>
      <c r="BDW94" s="195"/>
      <c r="BDX94" s="195"/>
      <c r="BDY94" s="195"/>
      <c r="BDZ94" s="195"/>
      <c r="BEA94" s="195"/>
      <c r="BEB94" s="195"/>
      <c r="BEC94" s="195"/>
      <c r="BED94" s="195"/>
      <c r="BEE94" s="195"/>
      <c r="BEF94" s="195"/>
      <c r="BEG94" s="195"/>
      <c r="BEH94" s="195"/>
      <c r="BEI94" s="195"/>
      <c r="BEJ94" s="195"/>
      <c r="BEK94" s="195"/>
      <c r="BEL94" s="195"/>
      <c r="BEM94" s="195"/>
      <c r="BEN94" s="195"/>
      <c r="BEO94" s="195"/>
      <c r="BEP94" s="195"/>
      <c r="BEQ94" s="195"/>
      <c r="BER94" s="195"/>
      <c r="BES94" s="195"/>
      <c r="BET94" s="195"/>
      <c r="BEU94" s="195"/>
      <c r="BEV94" s="195"/>
      <c r="BEW94" s="195"/>
      <c r="BEX94" s="195"/>
      <c r="BEY94" s="195"/>
      <c r="BEZ94" s="195"/>
      <c r="BFA94" s="195"/>
      <c r="BFB94" s="195"/>
      <c r="BFC94" s="195"/>
      <c r="BFD94" s="195"/>
      <c r="BFE94" s="195"/>
      <c r="BFF94" s="195"/>
      <c r="BFG94" s="195"/>
      <c r="BFH94" s="195"/>
      <c r="BFI94" s="195"/>
      <c r="BFJ94" s="195"/>
      <c r="BFK94" s="195"/>
      <c r="BFL94" s="195"/>
      <c r="BFM94" s="195"/>
      <c r="BFN94" s="195"/>
      <c r="BFO94" s="195"/>
      <c r="BFP94" s="195"/>
      <c r="BFQ94" s="195"/>
      <c r="BFR94" s="195"/>
      <c r="BFS94" s="195"/>
      <c r="BFT94" s="195"/>
      <c r="BFU94" s="195"/>
      <c r="BFV94" s="195"/>
      <c r="BFW94" s="195"/>
      <c r="BFX94" s="195"/>
      <c r="BFY94" s="195"/>
      <c r="BFZ94" s="195"/>
      <c r="BGA94" s="195"/>
      <c r="BGB94" s="195"/>
      <c r="BGC94" s="195"/>
      <c r="BGD94" s="195"/>
      <c r="BGE94" s="195"/>
      <c r="BGF94" s="195"/>
      <c r="BGG94" s="195"/>
      <c r="BGH94" s="195"/>
      <c r="BGI94" s="195"/>
      <c r="BGJ94" s="195"/>
      <c r="BGK94" s="195"/>
      <c r="BGL94" s="195"/>
      <c r="BGM94" s="195"/>
      <c r="BGN94" s="195"/>
      <c r="BGO94" s="195"/>
      <c r="BGP94" s="195"/>
      <c r="BGQ94" s="195"/>
      <c r="BGR94" s="195"/>
      <c r="BGS94" s="195"/>
      <c r="BGT94" s="195"/>
      <c r="BGU94" s="195"/>
      <c r="BGV94" s="195"/>
      <c r="BGW94" s="195"/>
      <c r="BGX94" s="195"/>
      <c r="BGY94" s="195"/>
      <c r="BGZ94" s="195"/>
      <c r="BHA94" s="195"/>
      <c r="BHB94" s="195"/>
      <c r="BHC94" s="195"/>
      <c r="BHD94" s="195"/>
      <c r="BHE94" s="195"/>
      <c r="BHF94" s="195"/>
      <c r="BHG94" s="195"/>
      <c r="BHH94" s="195"/>
      <c r="BHI94" s="195"/>
      <c r="BHJ94" s="195"/>
      <c r="BHK94" s="195"/>
      <c r="BHL94" s="195"/>
      <c r="BHM94" s="195"/>
      <c r="BHN94" s="195"/>
      <c r="BHO94" s="195"/>
      <c r="BHP94" s="195"/>
      <c r="BHQ94" s="195"/>
      <c r="BHR94" s="195"/>
      <c r="BHS94" s="195"/>
      <c r="BHT94" s="195"/>
      <c r="BHU94" s="195"/>
      <c r="BHV94" s="195"/>
      <c r="BHW94" s="195"/>
      <c r="BHX94" s="195"/>
      <c r="BHY94" s="195"/>
      <c r="BHZ94" s="195"/>
      <c r="BIA94" s="195"/>
      <c r="BIB94" s="195"/>
      <c r="BIC94" s="195"/>
      <c r="BID94" s="195"/>
      <c r="BIE94" s="195"/>
      <c r="BIF94" s="195"/>
      <c r="BIG94" s="195"/>
      <c r="BIH94" s="195"/>
      <c r="BII94" s="195"/>
      <c r="BIJ94" s="195"/>
      <c r="BIK94" s="195"/>
      <c r="BIL94" s="195"/>
      <c r="BIM94" s="195"/>
      <c r="BIN94" s="195"/>
      <c r="BIO94" s="195"/>
      <c r="BIP94" s="195"/>
      <c r="BIQ94" s="195"/>
      <c r="BIR94" s="195"/>
      <c r="BIS94" s="195"/>
      <c r="BIT94" s="195"/>
      <c r="BIU94" s="195"/>
      <c r="BIV94" s="195"/>
      <c r="BIW94" s="195"/>
      <c r="BIX94" s="195"/>
      <c r="BIY94" s="195"/>
      <c r="BIZ94" s="195"/>
      <c r="BJA94" s="195"/>
      <c r="BJB94" s="195"/>
      <c r="BJC94" s="195"/>
      <c r="BJD94" s="195"/>
      <c r="BJE94" s="195"/>
      <c r="BJF94" s="195"/>
      <c r="BJG94" s="195"/>
      <c r="BJH94" s="195"/>
      <c r="BJI94" s="195"/>
      <c r="BJJ94" s="195"/>
      <c r="BJK94" s="195"/>
      <c r="BJL94" s="195"/>
      <c r="BJM94" s="195"/>
      <c r="BJN94" s="195"/>
      <c r="BJO94" s="195"/>
      <c r="BJP94" s="195"/>
      <c r="BJQ94" s="195"/>
      <c r="BJR94" s="195"/>
      <c r="BJS94" s="195"/>
      <c r="BJT94" s="195"/>
      <c r="BJU94" s="195"/>
      <c r="BJV94" s="195"/>
      <c r="BJW94" s="195"/>
      <c r="BJX94" s="195"/>
      <c r="BJY94" s="195"/>
      <c r="BJZ94" s="195"/>
      <c r="BKA94" s="195"/>
      <c r="BKB94" s="195"/>
      <c r="BKC94" s="195"/>
      <c r="BKD94" s="195"/>
      <c r="BKE94" s="195"/>
      <c r="BKF94" s="195"/>
      <c r="BKG94" s="195"/>
      <c r="BKH94" s="195"/>
      <c r="BKI94" s="195"/>
      <c r="BKJ94" s="195"/>
      <c r="BKK94" s="195"/>
      <c r="BKL94" s="195"/>
      <c r="BKM94" s="195"/>
      <c r="BKN94" s="195"/>
      <c r="BKO94" s="195"/>
      <c r="BKP94" s="195"/>
      <c r="BKQ94" s="195"/>
      <c r="BKR94" s="195"/>
      <c r="BKS94" s="195"/>
      <c r="BKT94" s="195"/>
      <c r="BKU94" s="195"/>
      <c r="BKV94" s="195"/>
      <c r="BKW94" s="195"/>
      <c r="BKX94" s="195"/>
      <c r="BKY94" s="195"/>
      <c r="BKZ94" s="195"/>
      <c r="BLA94" s="195"/>
      <c r="BLB94" s="195"/>
      <c r="BLC94" s="195"/>
      <c r="BLD94" s="195"/>
      <c r="BLE94" s="195"/>
      <c r="BLF94" s="195"/>
      <c r="BLG94" s="195"/>
      <c r="BLH94" s="195"/>
      <c r="BLI94" s="195"/>
      <c r="BLJ94" s="195"/>
      <c r="BLK94" s="195"/>
      <c r="BLL94" s="195"/>
      <c r="BLM94" s="195"/>
      <c r="BLN94" s="195"/>
      <c r="BLO94" s="195"/>
      <c r="BLP94" s="195"/>
      <c r="BLQ94" s="195"/>
      <c r="BLR94" s="195"/>
      <c r="BLS94" s="195"/>
      <c r="BLT94" s="195"/>
      <c r="BLU94" s="195"/>
      <c r="BLV94" s="195"/>
      <c r="BLW94" s="195"/>
      <c r="BLX94" s="195"/>
      <c r="BLY94" s="195"/>
      <c r="BLZ94" s="195"/>
      <c r="BMA94" s="195"/>
      <c r="BMB94" s="195"/>
      <c r="BMC94" s="195"/>
      <c r="BMD94" s="195"/>
      <c r="BME94" s="195"/>
      <c r="BMF94" s="195"/>
      <c r="BMG94" s="195"/>
      <c r="BMH94" s="195"/>
      <c r="BMI94" s="195"/>
      <c r="BMJ94" s="195"/>
      <c r="BMK94" s="195"/>
      <c r="BML94" s="195"/>
      <c r="BMM94" s="195"/>
      <c r="BMN94" s="195"/>
      <c r="BMO94" s="195"/>
      <c r="BMP94" s="195"/>
      <c r="BMQ94" s="195"/>
      <c r="BMR94" s="195"/>
      <c r="BMS94" s="195"/>
      <c r="BMT94" s="195"/>
      <c r="BMU94" s="195"/>
      <c r="BMV94" s="195"/>
      <c r="BMW94" s="195"/>
      <c r="BMX94" s="195"/>
      <c r="BMY94" s="195"/>
      <c r="BMZ94" s="195"/>
      <c r="BNA94" s="195"/>
      <c r="BNB94" s="195"/>
      <c r="BNC94" s="195"/>
      <c r="BND94" s="195"/>
      <c r="BNE94" s="195"/>
      <c r="BNF94" s="195"/>
      <c r="BNG94" s="195"/>
      <c r="BNH94" s="195"/>
      <c r="BNI94" s="195"/>
      <c r="BNJ94" s="195"/>
      <c r="BNK94" s="195"/>
      <c r="BNL94" s="195"/>
      <c r="BNM94" s="195"/>
      <c r="BNN94" s="195"/>
      <c r="BNO94" s="195"/>
      <c r="BNP94" s="195"/>
      <c r="BNQ94" s="195"/>
      <c r="BNR94" s="195"/>
      <c r="BNS94" s="195"/>
      <c r="BNT94" s="195"/>
      <c r="BNU94" s="195"/>
      <c r="BNV94" s="195"/>
      <c r="BNW94" s="195"/>
      <c r="BNX94" s="195"/>
      <c r="BNY94" s="195"/>
      <c r="BNZ94" s="195"/>
      <c r="BOA94" s="195"/>
      <c r="BOB94" s="195"/>
      <c r="BOC94" s="195"/>
      <c r="BOD94" s="195"/>
      <c r="BOE94" s="195"/>
      <c r="BOF94" s="195"/>
      <c r="BOG94" s="195"/>
      <c r="BOH94" s="195"/>
      <c r="BOI94" s="195"/>
      <c r="BOJ94" s="195"/>
      <c r="BOK94" s="195"/>
      <c r="BOL94" s="195"/>
      <c r="BOM94" s="195"/>
      <c r="BON94" s="195"/>
      <c r="BOO94" s="195"/>
      <c r="BOP94" s="195"/>
      <c r="BOQ94" s="195"/>
      <c r="BOR94" s="195"/>
      <c r="BOS94" s="195"/>
      <c r="BOT94" s="195"/>
      <c r="BOU94" s="195"/>
      <c r="BOV94" s="195"/>
      <c r="BOW94" s="195"/>
      <c r="BOX94" s="195"/>
      <c r="BOY94" s="195"/>
      <c r="BOZ94" s="195"/>
      <c r="BPA94" s="195"/>
      <c r="BPB94" s="195"/>
      <c r="BPC94" s="195"/>
      <c r="BPD94" s="195"/>
      <c r="BPE94" s="195"/>
      <c r="BPF94" s="195"/>
      <c r="BPG94" s="195"/>
      <c r="BPH94" s="195"/>
      <c r="BPI94" s="195"/>
      <c r="BPJ94" s="195"/>
      <c r="BPK94" s="195"/>
      <c r="BPL94" s="195"/>
      <c r="BPM94" s="195"/>
      <c r="BPN94" s="195"/>
      <c r="BPO94" s="195"/>
      <c r="BPP94" s="195"/>
      <c r="BPQ94" s="195"/>
      <c r="BPR94" s="195"/>
      <c r="BPS94" s="195"/>
      <c r="BPT94" s="195"/>
      <c r="BPU94" s="195"/>
      <c r="BPV94" s="195"/>
      <c r="BPW94" s="195"/>
      <c r="BPX94" s="195"/>
      <c r="BPY94" s="195"/>
      <c r="BPZ94" s="195"/>
      <c r="BQA94" s="195"/>
      <c r="BQB94" s="195"/>
      <c r="BQC94" s="195"/>
      <c r="BQD94" s="195"/>
      <c r="BQE94" s="195"/>
      <c r="BQF94" s="195"/>
      <c r="BQG94" s="195"/>
      <c r="BQH94" s="195"/>
      <c r="BQI94" s="195"/>
      <c r="BQJ94" s="195"/>
      <c r="BQK94" s="195"/>
      <c r="BQL94" s="195"/>
      <c r="BQM94" s="195"/>
      <c r="BQN94" s="195"/>
      <c r="BQO94" s="195"/>
      <c r="BQP94" s="195"/>
      <c r="BQQ94" s="195"/>
      <c r="BQR94" s="195"/>
      <c r="BQS94" s="195"/>
      <c r="BQT94" s="195"/>
      <c r="BQU94" s="195"/>
      <c r="BQV94" s="195"/>
      <c r="BQW94" s="195"/>
      <c r="BQX94" s="195"/>
      <c r="BQY94" s="195"/>
      <c r="BQZ94" s="195"/>
      <c r="BRA94" s="195"/>
      <c r="BRB94" s="195"/>
      <c r="BRC94" s="195"/>
      <c r="BRD94" s="195"/>
      <c r="BRE94" s="195"/>
      <c r="BRF94" s="195"/>
      <c r="BRG94" s="195"/>
      <c r="BRH94" s="195"/>
      <c r="BRI94" s="195"/>
      <c r="BRJ94" s="195"/>
      <c r="BRK94" s="195"/>
      <c r="BRL94" s="195"/>
      <c r="BRM94" s="195"/>
      <c r="BRN94" s="195"/>
      <c r="BRO94" s="195"/>
      <c r="BRP94" s="195"/>
      <c r="BRQ94" s="195"/>
      <c r="BRR94" s="195"/>
      <c r="BRS94" s="195"/>
      <c r="BRT94" s="195"/>
      <c r="BRU94" s="195"/>
      <c r="BRV94" s="195"/>
      <c r="BRW94" s="195"/>
      <c r="BRX94" s="195"/>
      <c r="BRY94" s="195"/>
      <c r="BRZ94" s="195"/>
      <c r="BSA94" s="195"/>
      <c r="BSB94" s="195"/>
      <c r="BSC94" s="195"/>
      <c r="BSD94" s="195"/>
      <c r="BSE94" s="195"/>
      <c r="BSF94" s="195"/>
      <c r="BSG94" s="195"/>
      <c r="BSH94" s="195"/>
      <c r="BSI94" s="195"/>
      <c r="BSJ94" s="195"/>
      <c r="BSK94" s="195"/>
      <c r="BSL94" s="195"/>
      <c r="BSM94" s="195"/>
      <c r="BSN94" s="195"/>
      <c r="BSO94" s="195"/>
      <c r="BSP94" s="195"/>
      <c r="BSQ94" s="195"/>
      <c r="BSR94" s="195"/>
      <c r="BSS94" s="195"/>
      <c r="BST94" s="195"/>
      <c r="BSU94" s="195"/>
      <c r="BSV94" s="195"/>
      <c r="BSW94" s="195"/>
      <c r="BSX94" s="195"/>
      <c r="BSY94" s="195"/>
      <c r="BSZ94" s="195"/>
      <c r="BTA94" s="195"/>
      <c r="BTB94" s="195"/>
      <c r="BTC94" s="195"/>
      <c r="BTD94" s="195"/>
      <c r="BTE94" s="195"/>
      <c r="BTF94" s="195"/>
      <c r="BTG94" s="195"/>
      <c r="BTH94" s="195"/>
      <c r="BTI94" s="195"/>
      <c r="BTJ94" s="195"/>
      <c r="BTK94" s="195"/>
      <c r="BTL94" s="195"/>
      <c r="BTM94" s="195"/>
      <c r="BTN94" s="195"/>
      <c r="BTO94" s="195"/>
      <c r="BTP94" s="195"/>
      <c r="BTQ94" s="195"/>
      <c r="BTR94" s="195"/>
      <c r="BTS94" s="195"/>
      <c r="BTT94" s="195"/>
      <c r="BTU94" s="195"/>
      <c r="BTV94" s="195"/>
      <c r="BTW94" s="195"/>
      <c r="BTX94" s="195"/>
      <c r="BTY94" s="195"/>
      <c r="BTZ94" s="195"/>
      <c r="BUA94" s="195"/>
      <c r="BUB94" s="195"/>
      <c r="BUC94" s="195"/>
      <c r="BUD94" s="195"/>
      <c r="BUE94" s="195"/>
      <c r="BUF94" s="195"/>
      <c r="BUG94" s="195"/>
      <c r="BUH94" s="195"/>
      <c r="BUI94" s="195"/>
      <c r="BUJ94" s="195"/>
      <c r="BUK94" s="195"/>
      <c r="BUL94" s="195"/>
      <c r="BUM94" s="195"/>
      <c r="BUN94" s="195"/>
      <c r="BUO94" s="195"/>
      <c r="BUP94" s="195"/>
      <c r="BUQ94" s="195"/>
      <c r="BUR94" s="195"/>
      <c r="BUS94" s="195"/>
      <c r="BUT94" s="195"/>
      <c r="BUU94" s="195"/>
      <c r="BUV94" s="195"/>
      <c r="BUW94" s="195"/>
      <c r="BUX94" s="195"/>
      <c r="BUY94" s="195"/>
      <c r="BUZ94" s="195"/>
      <c r="BVA94" s="195"/>
      <c r="BVB94" s="195"/>
      <c r="BVC94" s="195"/>
      <c r="BVD94" s="195"/>
      <c r="BVE94" s="195"/>
      <c r="BVF94" s="195"/>
      <c r="BVG94" s="195"/>
      <c r="BVH94" s="195"/>
      <c r="BVI94" s="195"/>
      <c r="BVJ94" s="195"/>
      <c r="BVK94" s="195"/>
      <c r="BVL94" s="195"/>
      <c r="BVM94" s="195"/>
      <c r="BVN94" s="195"/>
      <c r="BVO94" s="195"/>
      <c r="BVP94" s="195"/>
      <c r="BVQ94" s="195"/>
      <c r="BVR94" s="195"/>
      <c r="BVS94" s="195"/>
      <c r="BVT94" s="195"/>
      <c r="BVU94" s="195"/>
      <c r="BVV94" s="195"/>
      <c r="BVW94" s="195"/>
      <c r="BVX94" s="195"/>
      <c r="BVY94" s="195"/>
      <c r="BVZ94" s="195"/>
      <c r="BWA94" s="195"/>
      <c r="BWB94" s="195"/>
      <c r="BWC94" s="195"/>
      <c r="BWD94" s="195"/>
      <c r="BWE94" s="195"/>
      <c r="BWF94" s="195"/>
      <c r="BWG94" s="195"/>
      <c r="BWH94" s="195"/>
      <c r="BWI94" s="195"/>
      <c r="BWJ94" s="195"/>
      <c r="BWK94" s="195"/>
      <c r="BWL94" s="195"/>
      <c r="BWM94" s="195"/>
      <c r="BWN94" s="195"/>
      <c r="BWO94" s="195"/>
      <c r="BWP94" s="195"/>
      <c r="BWQ94" s="195"/>
      <c r="BWR94" s="195"/>
      <c r="BWS94" s="195"/>
      <c r="BWT94" s="195"/>
      <c r="BWU94" s="195"/>
      <c r="BWV94" s="195"/>
      <c r="BWW94" s="195"/>
      <c r="BWX94" s="195"/>
      <c r="BWY94" s="195"/>
      <c r="BWZ94" s="195"/>
      <c r="BXA94" s="195"/>
      <c r="BXB94" s="195"/>
      <c r="BXC94" s="195"/>
      <c r="BXD94" s="195"/>
      <c r="BXE94" s="195"/>
      <c r="BXF94" s="195"/>
      <c r="BXG94" s="195"/>
      <c r="BXH94" s="195"/>
      <c r="BXI94" s="195"/>
      <c r="BXJ94" s="195"/>
      <c r="BXK94" s="195"/>
      <c r="BXL94" s="195"/>
      <c r="BXM94" s="195"/>
      <c r="BXN94" s="195"/>
      <c r="BXO94" s="195"/>
      <c r="BXP94" s="195"/>
      <c r="BXQ94" s="195"/>
      <c r="BXR94" s="195"/>
      <c r="BXS94" s="195"/>
      <c r="BXT94" s="195"/>
      <c r="BXU94" s="195"/>
      <c r="BXV94" s="195"/>
      <c r="BXW94" s="195"/>
      <c r="BXX94" s="195"/>
      <c r="BXY94" s="195"/>
      <c r="BXZ94" s="195"/>
      <c r="BYA94" s="195"/>
      <c r="BYB94" s="195"/>
      <c r="BYC94" s="195"/>
      <c r="BYD94" s="195"/>
      <c r="BYE94" s="195"/>
      <c r="BYF94" s="195"/>
      <c r="BYG94" s="195"/>
      <c r="BYH94" s="195"/>
      <c r="BYI94" s="195"/>
      <c r="BYJ94" s="195"/>
      <c r="BYK94" s="195"/>
      <c r="BYL94" s="195"/>
      <c r="BYM94" s="195"/>
      <c r="BYN94" s="195"/>
      <c r="BYO94" s="195"/>
      <c r="BYP94" s="195"/>
      <c r="BYQ94" s="195"/>
      <c r="BYR94" s="195"/>
      <c r="BYS94" s="195"/>
      <c r="BYT94" s="195"/>
      <c r="BYU94" s="195"/>
      <c r="BYV94" s="195"/>
      <c r="BYW94" s="195"/>
      <c r="BYX94" s="195"/>
      <c r="BYY94" s="195"/>
      <c r="BYZ94" s="195"/>
      <c r="BZA94" s="195"/>
      <c r="BZB94" s="195"/>
      <c r="BZC94" s="195"/>
      <c r="BZD94" s="195"/>
      <c r="BZE94" s="195"/>
      <c r="BZF94" s="195"/>
      <c r="BZG94" s="195"/>
      <c r="BZH94" s="195"/>
      <c r="BZI94" s="195"/>
      <c r="BZJ94" s="195"/>
      <c r="BZK94" s="195"/>
      <c r="BZL94" s="195"/>
      <c r="BZM94" s="195"/>
      <c r="BZN94" s="195"/>
      <c r="BZO94" s="195"/>
      <c r="BZP94" s="195"/>
      <c r="BZQ94" s="195"/>
      <c r="BZR94" s="195"/>
      <c r="BZS94" s="195"/>
      <c r="BZT94" s="195"/>
      <c r="BZU94" s="195"/>
      <c r="BZV94" s="195"/>
      <c r="BZW94" s="195"/>
      <c r="BZX94" s="195"/>
      <c r="BZY94" s="195"/>
      <c r="BZZ94" s="195"/>
      <c r="CAA94" s="195"/>
      <c r="CAB94" s="195"/>
      <c r="CAC94" s="195"/>
      <c r="CAD94" s="195"/>
      <c r="CAE94" s="195"/>
      <c r="CAF94" s="195"/>
      <c r="CAG94" s="195"/>
      <c r="CAH94" s="195"/>
      <c r="CAI94" s="195"/>
      <c r="CAJ94" s="195"/>
      <c r="CAK94" s="195"/>
      <c r="CAL94" s="195"/>
      <c r="CAM94" s="195"/>
      <c r="CAN94" s="195"/>
      <c r="CAO94" s="195"/>
      <c r="CAP94" s="195"/>
      <c r="CAQ94" s="195"/>
      <c r="CAR94" s="195"/>
      <c r="CAS94" s="195"/>
      <c r="CAT94" s="195"/>
      <c r="CAU94" s="195"/>
      <c r="CAV94" s="195"/>
      <c r="CAW94" s="195"/>
      <c r="CAX94" s="195"/>
      <c r="CAY94" s="195"/>
      <c r="CAZ94" s="195"/>
      <c r="CBA94" s="195"/>
      <c r="CBB94" s="195"/>
      <c r="CBC94" s="195"/>
      <c r="CBD94" s="195"/>
      <c r="CBE94" s="195"/>
      <c r="CBF94" s="195"/>
      <c r="CBG94" s="195"/>
      <c r="CBH94" s="195"/>
      <c r="CBI94" s="195"/>
      <c r="CBJ94" s="195"/>
      <c r="CBK94" s="195"/>
      <c r="CBL94" s="195"/>
      <c r="CBM94" s="195"/>
      <c r="CBN94" s="195"/>
      <c r="CBO94" s="195"/>
      <c r="CBP94" s="195"/>
      <c r="CBQ94" s="195"/>
      <c r="CBR94" s="195"/>
      <c r="CBS94" s="195"/>
      <c r="CBT94" s="195"/>
      <c r="CBU94" s="195"/>
      <c r="CBV94" s="195"/>
      <c r="CBW94" s="195"/>
      <c r="CBX94" s="195"/>
      <c r="CBY94" s="195"/>
      <c r="CBZ94" s="195"/>
      <c r="CCA94" s="195"/>
      <c r="CCB94" s="195"/>
      <c r="CCC94" s="195"/>
      <c r="CCD94" s="195"/>
      <c r="CCE94" s="195"/>
      <c r="CCF94" s="195"/>
      <c r="CCG94" s="195"/>
      <c r="CCH94" s="195"/>
      <c r="CCI94" s="195"/>
      <c r="CCJ94" s="195"/>
      <c r="CCK94" s="195"/>
      <c r="CCL94" s="195"/>
      <c r="CCM94" s="195"/>
      <c r="CCN94" s="195"/>
      <c r="CCO94" s="195"/>
      <c r="CCP94" s="195"/>
      <c r="CCQ94" s="195"/>
      <c r="CCR94" s="195"/>
      <c r="CCS94" s="195"/>
      <c r="CCT94" s="195"/>
      <c r="CCU94" s="195"/>
      <c r="CCV94" s="195"/>
      <c r="CCW94" s="195"/>
      <c r="CCX94" s="195"/>
      <c r="CCY94" s="195"/>
      <c r="CCZ94" s="195"/>
      <c r="CDA94" s="195"/>
      <c r="CDB94" s="195"/>
      <c r="CDC94" s="195"/>
      <c r="CDD94" s="195"/>
      <c r="CDE94" s="195"/>
      <c r="CDF94" s="195"/>
      <c r="CDG94" s="195"/>
      <c r="CDH94" s="195"/>
      <c r="CDI94" s="195"/>
      <c r="CDJ94" s="195"/>
      <c r="CDK94" s="195"/>
      <c r="CDL94" s="195"/>
      <c r="CDM94" s="195"/>
      <c r="CDN94" s="195"/>
      <c r="CDO94" s="195"/>
      <c r="CDP94" s="195"/>
      <c r="CDQ94" s="195"/>
      <c r="CDR94" s="195"/>
      <c r="CDS94" s="195"/>
      <c r="CDT94" s="195"/>
      <c r="CDU94" s="195"/>
      <c r="CDV94" s="195"/>
      <c r="CDW94" s="195"/>
      <c r="CDX94" s="195"/>
      <c r="CDY94" s="195"/>
      <c r="CDZ94" s="195"/>
      <c r="CEA94" s="195"/>
      <c r="CEB94" s="195"/>
      <c r="CEC94" s="195"/>
      <c r="CED94" s="195"/>
      <c r="CEE94" s="195"/>
      <c r="CEF94" s="195"/>
      <c r="CEG94" s="195"/>
      <c r="CEH94" s="195"/>
      <c r="CEI94" s="195"/>
      <c r="CEJ94" s="195"/>
      <c r="CEK94" s="195"/>
      <c r="CEL94" s="195"/>
      <c r="CEM94" s="195"/>
      <c r="CEN94" s="195"/>
      <c r="CEO94" s="195"/>
      <c r="CEP94" s="195"/>
      <c r="CEQ94" s="195"/>
      <c r="CER94" s="195"/>
      <c r="CES94" s="195"/>
      <c r="CET94" s="195"/>
      <c r="CEU94" s="195"/>
      <c r="CEV94" s="195"/>
      <c r="CEW94" s="195"/>
      <c r="CEX94" s="195"/>
      <c r="CEY94" s="195"/>
      <c r="CEZ94" s="195"/>
      <c r="CFA94" s="195"/>
      <c r="CFB94" s="195"/>
      <c r="CFC94" s="195"/>
      <c r="CFD94" s="195"/>
      <c r="CFE94" s="195"/>
      <c r="CFF94" s="195"/>
      <c r="CFG94" s="195"/>
      <c r="CFH94" s="195"/>
      <c r="CFI94" s="195"/>
      <c r="CFJ94" s="195"/>
      <c r="CFK94" s="195"/>
      <c r="CFL94" s="195"/>
      <c r="CFM94" s="195"/>
      <c r="CFN94" s="195"/>
      <c r="CFO94" s="195"/>
      <c r="CFP94" s="195"/>
      <c r="CFQ94" s="195"/>
      <c r="CFR94" s="195"/>
      <c r="CFS94" s="195"/>
      <c r="CFT94" s="195"/>
      <c r="CFU94" s="195"/>
      <c r="CFV94" s="195"/>
      <c r="CFW94" s="195"/>
      <c r="CFX94" s="195"/>
      <c r="CFY94" s="195"/>
      <c r="CFZ94" s="195"/>
      <c r="CGA94" s="195"/>
      <c r="CGB94" s="195"/>
      <c r="CGC94" s="195"/>
      <c r="CGD94" s="195"/>
      <c r="CGE94" s="195"/>
      <c r="CGF94" s="195"/>
      <c r="CGG94" s="195"/>
      <c r="CGH94" s="195"/>
      <c r="CGI94" s="195"/>
      <c r="CGJ94" s="195"/>
      <c r="CGK94" s="195"/>
      <c r="CGL94" s="195"/>
      <c r="CGM94" s="195"/>
      <c r="CGN94" s="195"/>
      <c r="CGO94" s="195"/>
      <c r="CGP94" s="195"/>
      <c r="CGQ94" s="195"/>
      <c r="CGR94" s="195"/>
      <c r="CGS94" s="195"/>
      <c r="CGT94" s="195"/>
      <c r="CGU94" s="195"/>
      <c r="CGV94" s="195"/>
      <c r="CGW94" s="195"/>
      <c r="CGX94" s="195"/>
      <c r="CGY94" s="195"/>
      <c r="CGZ94" s="195"/>
      <c r="CHA94" s="195"/>
      <c r="CHB94" s="195"/>
      <c r="CHC94" s="195"/>
      <c r="CHD94" s="195"/>
      <c r="CHE94" s="195"/>
      <c r="CHF94" s="195"/>
      <c r="CHG94" s="195"/>
      <c r="CHH94" s="195"/>
      <c r="CHI94" s="195"/>
      <c r="CHJ94" s="195"/>
      <c r="CHK94" s="195"/>
      <c r="CHL94" s="195"/>
      <c r="CHM94" s="195"/>
      <c r="CHN94" s="195"/>
      <c r="CHO94" s="195"/>
      <c r="CHP94" s="195"/>
      <c r="CHQ94" s="195"/>
      <c r="CHR94" s="195"/>
      <c r="CHS94" s="195"/>
      <c r="CHT94" s="195"/>
      <c r="CHU94" s="195"/>
      <c r="CHV94" s="195"/>
      <c r="CHW94" s="195"/>
      <c r="CHX94" s="195"/>
      <c r="CHY94" s="195"/>
      <c r="CHZ94" s="195"/>
      <c r="CIA94" s="195"/>
      <c r="CIB94" s="195"/>
      <c r="CIC94" s="195"/>
      <c r="CID94" s="195"/>
      <c r="CIE94" s="195"/>
      <c r="CIF94" s="195"/>
      <c r="CIG94" s="195"/>
      <c r="CIH94" s="195"/>
      <c r="CII94" s="195"/>
      <c r="CIJ94" s="195"/>
      <c r="CIK94" s="195"/>
      <c r="CIL94" s="195"/>
      <c r="CIM94" s="195"/>
      <c r="CIN94" s="195"/>
      <c r="CIO94" s="195"/>
      <c r="CIP94" s="195"/>
      <c r="CIQ94" s="195"/>
      <c r="CIR94" s="195"/>
      <c r="CIS94" s="195"/>
      <c r="CIT94" s="195"/>
      <c r="CIU94" s="195"/>
      <c r="CIV94" s="195"/>
      <c r="CIW94" s="195"/>
      <c r="CIX94" s="195"/>
      <c r="CIY94" s="195"/>
      <c r="CIZ94" s="195"/>
      <c r="CJA94" s="195"/>
      <c r="CJB94" s="195"/>
      <c r="CJC94" s="195"/>
      <c r="CJD94" s="195"/>
      <c r="CJE94" s="195"/>
      <c r="CJF94" s="195"/>
      <c r="CJG94" s="195"/>
      <c r="CJH94" s="195"/>
      <c r="CJI94" s="195"/>
      <c r="CJJ94" s="195"/>
      <c r="CJK94" s="195"/>
      <c r="CJL94" s="195"/>
      <c r="CJM94" s="195"/>
      <c r="CJN94" s="195"/>
      <c r="CJO94" s="195"/>
      <c r="CJP94" s="195"/>
      <c r="CJQ94" s="195"/>
      <c r="CJR94" s="195"/>
      <c r="CJS94" s="195"/>
      <c r="CJT94" s="195"/>
      <c r="CJU94" s="195"/>
      <c r="CJV94" s="195"/>
      <c r="CJW94" s="195"/>
      <c r="CJX94" s="195"/>
      <c r="CJY94" s="195"/>
      <c r="CJZ94" s="195"/>
      <c r="CKA94" s="195"/>
      <c r="CKB94" s="195"/>
      <c r="CKC94" s="195"/>
      <c r="CKD94" s="195"/>
      <c r="CKE94" s="195"/>
      <c r="CKF94" s="195"/>
      <c r="CKG94" s="195"/>
      <c r="CKH94" s="195"/>
      <c r="CKI94" s="195"/>
      <c r="CKJ94" s="195"/>
      <c r="CKK94" s="195"/>
      <c r="CKL94" s="195"/>
      <c r="CKM94" s="195"/>
      <c r="CKN94" s="195"/>
      <c r="CKO94" s="195"/>
      <c r="CKP94" s="195"/>
      <c r="CKQ94" s="195"/>
      <c r="CKR94" s="195"/>
      <c r="CKS94" s="195"/>
      <c r="CKT94" s="195"/>
      <c r="CKU94" s="195"/>
      <c r="CKV94" s="195"/>
      <c r="CKW94" s="195"/>
      <c r="CKX94" s="195"/>
      <c r="CKY94" s="195"/>
      <c r="CKZ94" s="195"/>
      <c r="CLA94" s="195"/>
      <c r="CLB94" s="195"/>
      <c r="CLC94" s="195"/>
      <c r="CLD94" s="195"/>
      <c r="CLE94" s="195"/>
      <c r="CLF94" s="195"/>
      <c r="CLG94" s="195"/>
      <c r="CLH94" s="195"/>
      <c r="CLI94" s="195"/>
      <c r="CLJ94" s="195"/>
      <c r="CLK94" s="195"/>
      <c r="CLL94" s="195"/>
      <c r="CLM94" s="195"/>
      <c r="CLN94" s="195"/>
      <c r="CLO94" s="195"/>
      <c r="CLP94" s="195"/>
      <c r="CLQ94" s="195"/>
      <c r="CLR94" s="195"/>
      <c r="CLS94" s="195"/>
      <c r="CLT94" s="195"/>
      <c r="CLU94" s="195"/>
      <c r="CLV94" s="195"/>
      <c r="CLW94" s="195"/>
      <c r="CLX94" s="195"/>
      <c r="CLY94" s="195"/>
      <c r="CLZ94" s="195"/>
      <c r="CMA94" s="195"/>
      <c r="CMB94" s="195"/>
      <c r="CMC94" s="195"/>
      <c r="CMD94" s="195"/>
      <c r="CME94" s="195"/>
      <c r="CMF94" s="195"/>
      <c r="CMG94" s="195"/>
      <c r="CMH94" s="195"/>
      <c r="CMI94" s="195"/>
      <c r="CMJ94" s="195"/>
      <c r="CMK94" s="195"/>
      <c r="CML94" s="195"/>
      <c r="CMM94" s="195"/>
      <c r="CMN94" s="195"/>
      <c r="CMO94" s="195"/>
      <c r="CMP94" s="195"/>
      <c r="CMQ94" s="195"/>
      <c r="CMR94" s="195"/>
      <c r="CMS94" s="195"/>
      <c r="CMT94" s="195"/>
      <c r="CMU94" s="195"/>
      <c r="CMV94" s="195"/>
      <c r="CMW94" s="195"/>
      <c r="CMX94" s="195"/>
      <c r="CMY94" s="195"/>
      <c r="CMZ94" s="195"/>
      <c r="CNA94" s="195"/>
      <c r="CNB94" s="195"/>
      <c r="CNC94" s="195"/>
      <c r="CND94" s="195"/>
      <c r="CNE94" s="195"/>
      <c r="CNF94" s="195"/>
      <c r="CNG94" s="195"/>
      <c r="CNH94" s="195"/>
      <c r="CNI94" s="195"/>
      <c r="CNJ94" s="195"/>
      <c r="CNK94" s="195"/>
      <c r="CNL94" s="195"/>
      <c r="CNM94" s="195"/>
      <c r="CNN94" s="195"/>
      <c r="CNO94" s="195"/>
      <c r="CNP94" s="195"/>
      <c r="CNQ94" s="195"/>
      <c r="CNR94" s="195"/>
      <c r="CNS94" s="195"/>
      <c r="CNT94" s="195"/>
      <c r="CNU94" s="195"/>
      <c r="CNV94" s="195"/>
      <c r="CNW94" s="195"/>
      <c r="CNX94" s="195"/>
      <c r="CNY94" s="195"/>
      <c r="CNZ94" s="195"/>
      <c r="COA94" s="195"/>
      <c r="COB94" s="195"/>
      <c r="COC94" s="195"/>
      <c r="COD94" s="195"/>
      <c r="COE94" s="195"/>
      <c r="COF94" s="195"/>
      <c r="COG94" s="195"/>
      <c r="COH94" s="195"/>
      <c r="COI94" s="195"/>
      <c r="COJ94" s="195"/>
      <c r="COK94" s="195"/>
      <c r="COL94" s="195"/>
      <c r="COM94" s="195"/>
      <c r="CON94" s="195"/>
      <c r="COO94" s="195"/>
      <c r="COP94" s="195"/>
      <c r="COQ94" s="195"/>
      <c r="COR94" s="195"/>
      <c r="COS94" s="195"/>
      <c r="COT94" s="195"/>
      <c r="COU94" s="195"/>
      <c r="COV94" s="195"/>
      <c r="COW94" s="195"/>
      <c r="COX94" s="195"/>
      <c r="COY94" s="195"/>
      <c r="COZ94" s="195"/>
      <c r="CPA94" s="195"/>
      <c r="CPB94" s="195"/>
      <c r="CPC94" s="195"/>
      <c r="CPD94" s="195"/>
      <c r="CPE94" s="195"/>
      <c r="CPF94" s="195"/>
      <c r="CPG94" s="195"/>
      <c r="CPH94" s="195"/>
      <c r="CPI94" s="195"/>
      <c r="CPJ94" s="195"/>
      <c r="CPK94" s="195"/>
      <c r="CPL94" s="195"/>
      <c r="CPM94" s="195"/>
      <c r="CPN94" s="195"/>
      <c r="CPO94" s="195"/>
      <c r="CPP94" s="195"/>
      <c r="CPQ94" s="195"/>
      <c r="CPR94" s="195"/>
      <c r="CPS94" s="195"/>
      <c r="CPT94" s="195"/>
      <c r="CPU94" s="195"/>
      <c r="CPV94" s="195"/>
      <c r="CPW94" s="195"/>
      <c r="CPX94" s="195"/>
      <c r="CPY94" s="195"/>
      <c r="CPZ94" s="195"/>
      <c r="CQA94" s="195"/>
      <c r="CQB94" s="195"/>
      <c r="CQC94" s="195"/>
      <c r="CQD94" s="195"/>
      <c r="CQE94" s="195"/>
      <c r="CQF94" s="195"/>
      <c r="CQG94" s="195"/>
      <c r="CQH94" s="195"/>
      <c r="CQI94" s="195"/>
      <c r="CQJ94" s="195"/>
      <c r="CQK94" s="195"/>
      <c r="CQL94" s="195"/>
      <c r="CQM94" s="195"/>
      <c r="CQN94" s="195"/>
      <c r="CQO94" s="195"/>
      <c r="CQP94" s="195"/>
      <c r="CQQ94" s="195"/>
      <c r="CQR94" s="195"/>
      <c r="CQS94" s="195"/>
      <c r="CQT94" s="195"/>
      <c r="CQU94" s="195"/>
      <c r="CQV94" s="195"/>
      <c r="CQW94" s="195"/>
      <c r="CQX94" s="195"/>
      <c r="CQY94" s="195"/>
      <c r="CQZ94" s="195"/>
      <c r="CRA94" s="195"/>
      <c r="CRB94" s="195"/>
      <c r="CRC94" s="195"/>
      <c r="CRD94" s="195"/>
      <c r="CRE94" s="195"/>
      <c r="CRF94" s="195"/>
      <c r="CRG94" s="195"/>
      <c r="CRH94" s="195"/>
      <c r="CRI94" s="195"/>
      <c r="CRJ94" s="195"/>
      <c r="CRK94" s="195"/>
      <c r="CRL94" s="195"/>
      <c r="CRM94" s="195"/>
      <c r="CRN94" s="195"/>
      <c r="CRO94" s="195"/>
      <c r="CRP94" s="195"/>
      <c r="CRQ94" s="195"/>
      <c r="CRR94" s="195"/>
      <c r="CRS94" s="195"/>
      <c r="CRT94" s="195"/>
      <c r="CRU94" s="195"/>
      <c r="CRV94" s="195"/>
      <c r="CRW94" s="195"/>
      <c r="CRX94" s="195"/>
      <c r="CRY94" s="195"/>
      <c r="CRZ94" s="195"/>
      <c r="CSA94" s="195"/>
      <c r="CSB94" s="195"/>
      <c r="CSC94" s="195"/>
      <c r="CSD94" s="195"/>
      <c r="CSE94" s="195"/>
      <c r="CSF94" s="195"/>
      <c r="CSG94" s="195"/>
      <c r="CSH94" s="195"/>
      <c r="CSI94" s="195"/>
      <c r="CSJ94" s="195"/>
      <c r="CSK94" s="195"/>
      <c r="CSL94" s="195"/>
      <c r="CSM94" s="195"/>
      <c r="CSN94" s="195"/>
      <c r="CSO94" s="195"/>
      <c r="CSP94" s="195"/>
      <c r="CSQ94" s="195"/>
      <c r="CSR94" s="195"/>
      <c r="CSS94" s="195"/>
      <c r="CST94" s="195"/>
      <c r="CSU94" s="195"/>
      <c r="CSV94" s="195"/>
      <c r="CSW94" s="195"/>
      <c r="CSX94" s="195"/>
      <c r="CSY94" s="195"/>
      <c r="CSZ94" s="195"/>
      <c r="CTA94" s="195"/>
      <c r="CTB94" s="195"/>
      <c r="CTC94" s="195"/>
      <c r="CTD94" s="195"/>
      <c r="CTE94" s="195"/>
      <c r="CTF94" s="195"/>
      <c r="CTG94" s="195"/>
      <c r="CTH94" s="195"/>
      <c r="CTI94" s="195"/>
      <c r="CTJ94" s="195"/>
      <c r="CTK94" s="195"/>
      <c r="CTL94" s="195"/>
      <c r="CTM94" s="195"/>
      <c r="CTN94" s="195"/>
      <c r="CTO94" s="195"/>
      <c r="CTP94" s="195"/>
      <c r="CTQ94" s="195"/>
      <c r="CTR94" s="195"/>
      <c r="CTS94" s="195"/>
      <c r="CTT94" s="195"/>
      <c r="CTU94" s="195"/>
      <c r="CTV94" s="195"/>
      <c r="CTW94" s="195"/>
      <c r="CTX94" s="195"/>
      <c r="CTY94" s="195"/>
      <c r="CTZ94" s="195"/>
      <c r="CUA94" s="195"/>
      <c r="CUB94" s="195"/>
      <c r="CUC94" s="195"/>
      <c r="CUD94" s="195"/>
      <c r="CUE94" s="195"/>
      <c r="CUF94" s="195"/>
      <c r="CUG94" s="195"/>
      <c r="CUH94" s="195"/>
      <c r="CUI94" s="195"/>
      <c r="CUJ94" s="195"/>
      <c r="CUK94" s="195"/>
      <c r="CUL94" s="195"/>
      <c r="CUM94" s="195"/>
      <c r="CUN94" s="195"/>
      <c r="CUO94" s="195"/>
      <c r="CUP94" s="195"/>
      <c r="CUQ94" s="195"/>
      <c r="CUR94" s="195"/>
      <c r="CUS94" s="195"/>
      <c r="CUT94" s="195"/>
      <c r="CUU94" s="195"/>
      <c r="CUV94" s="195"/>
      <c r="CUW94" s="195"/>
      <c r="CUX94" s="195"/>
      <c r="CUY94" s="195"/>
      <c r="CUZ94" s="195"/>
      <c r="CVA94" s="195"/>
      <c r="CVB94" s="195"/>
      <c r="CVC94" s="195"/>
      <c r="CVD94" s="195"/>
      <c r="CVE94" s="195"/>
      <c r="CVF94" s="195"/>
      <c r="CVG94" s="195"/>
      <c r="CVH94" s="195"/>
      <c r="CVI94" s="195"/>
      <c r="CVJ94" s="195"/>
      <c r="CVK94" s="195"/>
      <c r="CVL94" s="195"/>
      <c r="CVM94" s="195"/>
      <c r="CVN94" s="195"/>
      <c r="CVO94" s="195"/>
      <c r="CVP94" s="195"/>
      <c r="CVQ94" s="195"/>
      <c r="CVR94" s="195"/>
      <c r="CVS94" s="195"/>
      <c r="CVT94" s="195"/>
      <c r="CVU94" s="195"/>
      <c r="CVV94" s="195"/>
      <c r="CVW94" s="195"/>
      <c r="CVX94" s="195"/>
      <c r="CVY94" s="195"/>
      <c r="CVZ94" s="195"/>
      <c r="CWA94" s="195"/>
      <c r="CWB94" s="195"/>
      <c r="CWC94" s="195"/>
      <c r="CWD94" s="195"/>
      <c r="CWE94" s="195"/>
      <c r="CWF94" s="195"/>
      <c r="CWG94" s="195"/>
      <c r="CWH94" s="195"/>
      <c r="CWI94" s="195"/>
      <c r="CWJ94" s="195"/>
      <c r="CWK94" s="195"/>
      <c r="CWL94" s="195"/>
      <c r="CWM94" s="195"/>
      <c r="CWN94" s="195"/>
      <c r="CWO94" s="195"/>
      <c r="CWP94" s="195"/>
      <c r="CWQ94" s="195"/>
      <c r="CWR94" s="195"/>
      <c r="CWS94" s="195"/>
      <c r="CWT94" s="195"/>
      <c r="CWU94" s="195"/>
      <c r="CWV94" s="195"/>
      <c r="CWW94" s="195"/>
      <c r="CWX94" s="195"/>
      <c r="CWY94" s="195"/>
      <c r="CWZ94" s="195"/>
      <c r="CXA94" s="195"/>
      <c r="CXB94" s="195"/>
      <c r="CXC94" s="195"/>
      <c r="CXD94" s="195"/>
      <c r="CXE94" s="195"/>
      <c r="CXF94" s="195"/>
      <c r="CXG94" s="195"/>
      <c r="CXH94" s="195"/>
      <c r="CXI94" s="195"/>
      <c r="CXJ94" s="195"/>
      <c r="CXK94" s="195"/>
      <c r="CXL94" s="195"/>
      <c r="CXM94" s="195"/>
      <c r="CXN94" s="195"/>
      <c r="CXO94" s="195"/>
      <c r="CXP94" s="195"/>
      <c r="CXQ94" s="195"/>
      <c r="CXR94" s="195"/>
      <c r="CXS94" s="195"/>
      <c r="CXT94" s="195"/>
      <c r="CXU94" s="195"/>
      <c r="CXV94" s="195"/>
      <c r="CXW94" s="195"/>
      <c r="CXX94" s="195"/>
      <c r="CXY94" s="195"/>
      <c r="CXZ94" s="195"/>
      <c r="CYA94" s="195"/>
      <c r="CYB94" s="195"/>
      <c r="CYC94" s="195"/>
      <c r="CYD94" s="195"/>
      <c r="CYE94" s="195"/>
      <c r="CYF94" s="195"/>
      <c r="CYG94" s="195"/>
      <c r="CYH94" s="195"/>
      <c r="CYI94" s="195"/>
      <c r="CYJ94" s="195"/>
      <c r="CYK94" s="195"/>
      <c r="CYL94" s="195"/>
      <c r="CYM94" s="195"/>
      <c r="CYN94" s="195"/>
      <c r="CYO94" s="195"/>
      <c r="CYP94" s="195"/>
      <c r="CYQ94" s="195"/>
      <c r="CYR94" s="195"/>
      <c r="CYS94" s="195"/>
      <c r="CYT94" s="195"/>
      <c r="CYU94" s="195"/>
      <c r="CYV94" s="195"/>
      <c r="CYW94" s="195"/>
      <c r="CYX94" s="195"/>
      <c r="CYY94" s="195"/>
      <c r="CYZ94" s="195"/>
      <c r="CZA94" s="195"/>
      <c r="CZB94" s="195"/>
      <c r="CZC94" s="195"/>
      <c r="CZD94" s="195"/>
      <c r="CZE94" s="195"/>
      <c r="CZF94" s="195"/>
      <c r="CZG94" s="195"/>
      <c r="CZH94" s="195"/>
      <c r="CZI94" s="195"/>
      <c r="CZJ94" s="195"/>
      <c r="CZK94" s="195"/>
      <c r="CZL94" s="195"/>
      <c r="CZM94" s="195"/>
      <c r="CZN94" s="195"/>
      <c r="CZO94" s="195"/>
      <c r="CZP94" s="195"/>
      <c r="CZQ94" s="195"/>
      <c r="CZR94" s="195"/>
      <c r="CZS94" s="195"/>
      <c r="CZT94" s="195"/>
      <c r="CZU94" s="195"/>
      <c r="CZV94" s="195"/>
      <c r="CZW94" s="195"/>
      <c r="CZX94" s="195"/>
      <c r="CZY94" s="195"/>
      <c r="CZZ94" s="195"/>
      <c r="DAA94" s="195"/>
      <c r="DAB94" s="195"/>
      <c r="DAC94" s="195"/>
      <c r="DAD94" s="195"/>
      <c r="DAE94" s="195"/>
      <c r="DAF94" s="195"/>
      <c r="DAG94" s="195"/>
      <c r="DAH94" s="195"/>
      <c r="DAI94" s="195"/>
      <c r="DAJ94" s="195"/>
      <c r="DAK94" s="195"/>
      <c r="DAL94" s="195"/>
      <c r="DAM94" s="195"/>
      <c r="DAN94" s="195"/>
      <c r="DAO94" s="195"/>
      <c r="DAP94" s="195"/>
      <c r="DAQ94" s="195"/>
      <c r="DAR94" s="195"/>
      <c r="DAS94" s="195"/>
      <c r="DAT94" s="195"/>
      <c r="DAU94" s="195"/>
      <c r="DAV94" s="195"/>
      <c r="DAW94" s="195"/>
      <c r="DAX94" s="195"/>
      <c r="DAY94" s="195"/>
      <c r="DAZ94" s="195"/>
      <c r="DBA94" s="195"/>
      <c r="DBB94" s="195"/>
      <c r="DBC94" s="195"/>
      <c r="DBD94" s="195"/>
      <c r="DBE94" s="195"/>
      <c r="DBF94" s="195"/>
      <c r="DBG94" s="195"/>
      <c r="DBH94" s="195"/>
      <c r="DBI94" s="195"/>
      <c r="DBJ94" s="195"/>
      <c r="DBK94" s="195"/>
      <c r="DBL94" s="195"/>
      <c r="DBM94" s="195"/>
      <c r="DBN94" s="195"/>
      <c r="DBO94" s="195"/>
      <c r="DBP94" s="195"/>
      <c r="DBQ94" s="195"/>
      <c r="DBR94" s="195"/>
      <c r="DBS94" s="195"/>
      <c r="DBT94" s="195"/>
      <c r="DBU94" s="195"/>
      <c r="DBV94" s="195"/>
      <c r="DBW94" s="195"/>
      <c r="DBX94" s="195"/>
      <c r="DBY94" s="195"/>
      <c r="DBZ94" s="195"/>
      <c r="DCA94" s="195"/>
      <c r="DCB94" s="195"/>
      <c r="DCC94" s="195"/>
      <c r="DCD94" s="195"/>
      <c r="DCE94" s="195"/>
      <c r="DCF94" s="195"/>
      <c r="DCG94" s="195"/>
      <c r="DCH94" s="195"/>
      <c r="DCI94" s="195"/>
      <c r="DCJ94" s="195"/>
      <c r="DCK94" s="195"/>
      <c r="DCL94" s="195"/>
      <c r="DCM94" s="195"/>
      <c r="DCN94" s="195"/>
      <c r="DCO94" s="195"/>
      <c r="DCP94" s="195"/>
      <c r="DCQ94" s="195"/>
      <c r="DCR94" s="195"/>
      <c r="DCS94" s="195"/>
      <c r="DCT94" s="195"/>
      <c r="DCU94" s="195"/>
      <c r="DCV94" s="195"/>
      <c r="DCW94" s="195"/>
      <c r="DCX94" s="195"/>
      <c r="DCY94" s="195"/>
      <c r="DCZ94" s="195"/>
      <c r="DDA94" s="195"/>
      <c r="DDB94" s="195"/>
      <c r="DDC94" s="195"/>
      <c r="DDD94" s="195"/>
      <c r="DDE94" s="195"/>
      <c r="DDF94" s="195"/>
      <c r="DDG94" s="195"/>
      <c r="DDH94" s="195"/>
      <c r="DDI94" s="195"/>
      <c r="DDJ94" s="195"/>
      <c r="DDK94" s="195"/>
      <c r="DDL94" s="195"/>
      <c r="DDM94" s="195"/>
      <c r="DDN94" s="195"/>
      <c r="DDO94" s="195"/>
      <c r="DDP94" s="195"/>
      <c r="DDQ94" s="195"/>
      <c r="DDR94" s="195"/>
      <c r="DDS94" s="195"/>
      <c r="DDT94" s="195"/>
      <c r="DDU94" s="195"/>
      <c r="DDV94" s="195"/>
      <c r="DDW94" s="195"/>
      <c r="DDX94" s="195"/>
      <c r="DDY94" s="195"/>
      <c r="DDZ94" s="195"/>
      <c r="DEA94" s="195"/>
      <c r="DEB94" s="195"/>
      <c r="DEC94" s="195"/>
      <c r="DED94" s="195"/>
      <c r="DEE94" s="195"/>
      <c r="DEF94" s="195"/>
      <c r="DEG94" s="195"/>
      <c r="DEH94" s="195"/>
      <c r="DEI94" s="195"/>
      <c r="DEJ94" s="195"/>
      <c r="DEK94" s="195"/>
      <c r="DEL94" s="195"/>
      <c r="DEM94" s="195"/>
      <c r="DEN94" s="195"/>
      <c r="DEO94" s="195"/>
      <c r="DEP94" s="195"/>
      <c r="DEQ94" s="195"/>
      <c r="DER94" s="195"/>
      <c r="DES94" s="195"/>
      <c r="DET94" s="195"/>
      <c r="DEU94" s="195"/>
      <c r="DEV94" s="195"/>
      <c r="DEW94" s="195"/>
      <c r="DEX94" s="195"/>
      <c r="DEY94" s="195"/>
      <c r="DEZ94" s="195"/>
      <c r="DFA94" s="195"/>
      <c r="DFB94" s="195"/>
      <c r="DFC94" s="195"/>
      <c r="DFD94" s="195"/>
      <c r="DFE94" s="195"/>
      <c r="DFF94" s="195"/>
      <c r="DFG94" s="195"/>
      <c r="DFH94" s="195"/>
      <c r="DFI94" s="195"/>
      <c r="DFJ94" s="195"/>
      <c r="DFK94" s="195"/>
      <c r="DFL94" s="195"/>
      <c r="DFM94" s="195"/>
      <c r="DFN94" s="195"/>
      <c r="DFO94" s="195"/>
      <c r="DFP94" s="195"/>
      <c r="DFQ94" s="195"/>
      <c r="DFR94" s="195"/>
      <c r="DFS94" s="195"/>
      <c r="DFT94" s="195"/>
      <c r="DFU94" s="195"/>
      <c r="DFV94" s="195"/>
      <c r="DFW94" s="195"/>
      <c r="DFX94" s="195"/>
      <c r="DFY94" s="195"/>
      <c r="DFZ94" s="195"/>
      <c r="DGA94" s="195"/>
      <c r="DGB94" s="195"/>
      <c r="DGC94" s="195"/>
      <c r="DGD94" s="195"/>
      <c r="DGE94" s="195"/>
      <c r="DGF94" s="195"/>
      <c r="DGG94" s="195"/>
      <c r="DGH94" s="195"/>
      <c r="DGI94" s="195"/>
      <c r="DGJ94" s="195"/>
      <c r="DGK94" s="195"/>
      <c r="DGL94" s="195"/>
      <c r="DGM94" s="195"/>
      <c r="DGN94" s="195"/>
      <c r="DGO94" s="195"/>
      <c r="DGP94" s="195"/>
      <c r="DGQ94" s="195"/>
      <c r="DGR94" s="195"/>
      <c r="DGS94" s="195"/>
      <c r="DGT94" s="195"/>
      <c r="DGU94" s="195"/>
      <c r="DGV94" s="195"/>
      <c r="DGW94" s="195"/>
      <c r="DGX94" s="195"/>
      <c r="DGY94" s="195"/>
      <c r="DGZ94" s="195"/>
      <c r="DHA94" s="195"/>
      <c r="DHB94" s="195"/>
      <c r="DHC94" s="195"/>
      <c r="DHD94" s="195"/>
      <c r="DHE94" s="195"/>
      <c r="DHF94" s="195"/>
      <c r="DHG94" s="195"/>
      <c r="DHH94" s="195"/>
      <c r="DHI94" s="195"/>
      <c r="DHJ94" s="195"/>
      <c r="DHK94" s="195"/>
      <c r="DHL94" s="195"/>
      <c r="DHM94" s="195"/>
      <c r="DHN94" s="195"/>
      <c r="DHO94" s="195"/>
      <c r="DHP94" s="195"/>
      <c r="DHQ94" s="195"/>
      <c r="DHR94" s="195"/>
      <c r="DHS94" s="195"/>
      <c r="DHT94" s="195"/>
      <c r="DHU94" s="195"/>
      <c r="DHV94" s="195"/>
      <c r="DHW94" s="195"/>
      <c r="DHX94" s="195"/>
      <c r="DHY94" s="195"/>
      <c r="DHZ94" s="195"/>
      <c r="DIA94" s="195"/>
      <c r="DIB94" s="195"/>
      <c r="DIC94" s="195"/>
      <c r="DID94" s="195"/>
      <c r="DIE94" s="195"/>
      <c r="DIF94" s="195"/>
      <c r="DIG94" s="195"/>
      <c r="DIH94" s="195"/>
      <c r="DII94" s="195"/>
      <c r="DIJ94" s="195"/>
      <c r="DIK94" s="195"/>
      <c r="DIL94" s="195"/>
      <c r="DIM94" s="195"/>
      <c r="DIN94" s="195"/>
      <c r="DIO94" s="195"/>
      <c r="DIP94" s="195"/>
      <c r="DIQ94" s="195"/>
      <c r="DIR94" s="195"/>
      <c r="DIS94" s="195"/>
      <c r="DIT94" s="195"/>
      <c r="DIU94" s="195"/>
      <c r="DIV94" s="195"/>
      <c r="DIW94" s="195"/>
      <c r="DIX94" s="195"/>
      <c r="DIY94" s="195"/>
      <c r="DIZ94" s="195"/>
      <c r="DJA94" s="195"/>
      <c r="DJB94" s="195"/>
      <c r="DJC94" s="195"/>
      <c r="DJD94" s="195"/>
      <c r="DJE94" s="195"/>
      <c r="DJF94" s="195"/>
      <c r="DJG94" s="195"/>
      <c r="DJH94" s="195"/>
      <c r="DJI94" s="195"/>
      <c r="DJJ94" s="195"/>
      <c r="DJK94" s="195"/>
      <c r="DJL94" s="195"/>
      <c r="DJM94" s="195"/>
      <c r="DJN94" s="195"/>
      <c r="DJO94" s="195"/>
      <c r="DJP94" s="195"/>
      <c r="DJQ94" s="195"/>
      <c r="DJR94" s="195"/>
      <c r="DJS94" s="195"/>
      <c r="DJT94" s="195"/>
      <c r="DJU94" s="195"/>
      <c r="DJV94" s="195"/>
      <c r="DJW94" s="195"/>
      <c r="DJX94" s="195"/>
      <c r="DJY94" s="195"/>
      <c r="DJZ94" s="195"/>
      <c r="DKA94" s="195"/>
      <c r="DKB94" s="195"/>
      <c r="DKC94" s="195"/>
      <c r="DKD94" s="195"/>
      <c r="DKE94" s="195"/>
      <c r="DKF94" s="195"/>
      <c r="DKG94" s="195"/>
      <c r="DKH94" s="195"/>
      <c r="DKI94" s="195"/>
      <c r="DKJ94" s="195"/>
      <c r="DKK94" s="195"/>
      <c r="DKL94" s="195"/>
      <c r="DKM94" s="195"/>
      <c r="DKN94" s="195"/>
      <c r="DKO94" s="195"/>
      <c r="DKP94" s="195"/>
      <c r="DKQ94" s="195"/>
      <c r="DKR94" s="195"/>
      <c r="DKS94" s="195"/>
      <c r="DKT94" s="195"/>
      <c r="DKU94" s="195"/>
      <c r="DKV94" s="195"/>
      <c r="DKW94" s="195"/>
      <c r="DKX94" s="195"/>
      <c r="DKY94" s="195"/>
      <c r="DKZ94" s="195"/>
      <c r="DLA94" s="195"/>
      <c r="DLB94" s="195"/>
      <c r="DLC94" s="195"/>
      <c r="DLD94" s="195"/>
      <c r="DLE94" s="195"/>
      <c r="DLF94" s="195"/>
      <c r="DLG94" s="195"/>
      <c r="DLH94" s="195"/>
      <c r="DLI94" s="195"/>
      <c r="DLJ94" s="195"/>
      <c r="DLK94" s="195"/>
      <c r="DLL94" s="195"/>
      <c r="DLM94" s="195"/>
      <c r="DLN94" s="195"/>
      <c r="DLO94" s="195"/>
      <c r="DLP94" s="195"/>
      <c r="DLQ94" s="195"/>
      <c r="DLR94" s="195"/>
      <c r="DLS94" s="195"/>
      <c r="DLT94" s="195"/>
      <c r="DLU94" s="195"/>
      <c r="DLV94" s="195"/>
      <c r="DLW94" s="195"/>
      <c r="DLX94" s="195"/>
      <c r="DLY94" s="195"/>
      <c r="DLZ94" s="195"/>
      <c r="DMA94" s="195"/>
      <c r="DMB94" s="195"/>
      <c r="DMC94" s="195"/>
      <c r="DMD94" s="195"/>
      <c r="DME94" s="195"/>
      <c r="DMF94" s="195"/>
      <c r="DMG94" s="195"/>
      <c r="DMH94" s="195"/>
      <c r="DMI94" s="195"/>
      <c r="DMJ94" s="195"/>
      <c r="DMK94" s="195"/>
      <c r="DML94" s="195"/>
      <c r="DMM94" s="195"/>
      <c r="DMN94" s="195"/>
      <c r="DMO94" s="195"/>
      <c r="DMP94" s="195"/>
      <c r="DMQ94" s="195"/>
      <c r="DMR94" s="195"/>
      <c r="DMS94" s="195"/>
      <c r="DMT94" s="195"/>
      <c r="DMU94" s="195"/>
      <c r="DMV94" s="195"/>
      <c r="DMW94" s="195"/>
      <c r="DMX94" s="195"/>
      <c r="DMY94" s="195"/>
      <c r="DMZ94" s="195"/>
      <c r="DNA94" s="195"/>
      <c r="DNB94" s="195"/>
      <c r="DNC94" s="195"/>
      <c r="DND94" s="195"/>
      <c r="DNE94" s="195"/>
      <c r="DNF94" s="195"/>
      <c r="DNG94" s="195"/>
      <c r="DNH94" s="195"/>
      <c r="DNI94" s="195"/>
      <c r="DNJ94" s="195"/>
      <c r="DNK94" s="195"/>
      <c r="DNL94" s="195"/>
      <c r="DNM94" s="195"/>
      <c r="DNN94" s="195"/>
      <c r="DNO94" s="195"/>
      <c r="DNP94" s="195"/>
      <c r="DNQ94" s="195"/>
      <c r="DNR94" s="195"/>
      <c r="DNS94" s="195"/>
      <c r="DNT94" s="195"/>
      <c r="DNU94" s="195"/>
      <c r="DNV94" s="195"/>
      <c r="DNW94" s="195"/>
      <c r="DNX94" s="195"/>
      <c r="DNY94" s="195"/>
      <c r="DNZ94" s="195"/>
      <c r="DOA94" s="195"/>
      <c r="DOB94" s="195"/>
      <c r="DOC94" s="195"/>
      <c r="DOD94" s="195"/>
      <c r="DOE94" s="195"/>
      <c r="DOF94" s="195"/>
      <c r="DOG94" s="195"/>
      <c r="DOH94" s="195"/>
      <c r="DOI94" s="195"/>
      <c r="DOJ94" s="195"/>
      <c r="DOK94" s="195"/>
      <c r="DOL94" s="195"/>
      <c r="DOM94" s="195"/>
      <c r="DON94" s="195"/>
      <c r="DOO94" s="195"/>
      <c r="DOP94" s="195"/>
      <c r="DOQ94" s="195"/>
      <c r="DOR94" s="195"/>
      <c r="DOS94" s="195"/>
      <c r="DOT94" s="195"/>
      <c r="DOU94" s="195"/>
      <c r="DOV94" s="195"/>
      <c r="DOW94" s="195"/>
      <c r="DOX94" s="195"/>
      <c r="DOY94" s="195"/>
      <c r="DOZ94" s="195"/>
      <c r="DPA94" s="195"/>
      <c r="DPB94" s="195"/>
      <c r="DPC94" s="195"/>
      <c r="DPD94" s="195"/>
      <c r="DPE94" s="195"/>
      <c r="DPF94" s="195"/>
      <c r="DPG94" s="195"/>
      <c r="DPH94" s="195"/>
      <c r="DPI94" s="195"/>
      <c r="DPJ94" s="195"/>
      <c r="DPK94" s="195"/>
      <c r="DPL94" s="195"/>
      <c r="DPM94" s="195"/>
      <c r="DPN94" s="195"/>
      <c r="DPO94" s="195"/>
      <c r="DPP94" s="195"/>
      <c r="DPQ94" s="195"/>
      <c r="DPR94" s="195"/>
      <c r="DPS94" s="195"/>
      <c r="DPT94" s="195"/>
      <c r="DPU94" s="195"/>
      <c r="DPV94" s="195"/>
      <c r="DPW94" s="195"/>
      <c r="DPX94" s="195"/>
      <c r="DPY94" s="195"/>
      <c r="DPZ94" s="195"/>
      <c r="DQA94" s="195"/>
      <c r="DQB94" s="195"/>
      <c r="DQC94" s="195"/>
      <c r="DQD94" s="195"/>
      <c r="DQE94" s="195"/>
      <c r="DQF94" s="195"/>
      <c r="DQG94" s="195"/>
      <c r="DQH94" s="195"/>
      <c r="DQI94" s="195"/>
      <c r="DQJ94" s="195"/>
      <c r="DQK94" s="195"/>
      <c r="DQL94" s="195"/>
      <c r="DQM94" s="195"/>
      <c r="DQN94" s="195"/>
      <c r="DQO94" s="195"/>
      <c r="DQP94" s="195"/>
      <c r="DQQ94" s="195"/>
      <c r="DQR94" s="195"/>
      <c r="DQS94" s="195"/>
      <c r="DQT94" s="195"/>
      <c r="DQU94" s="195"/>
      <c r="DQV94" s="195"/>
      <c r="DQW94" s="195"/>
      <c r="DQX94" s="195"/>
      <c r="DQY94" s="195"/>
      <c r="DQZ94" s="195"/>
      <c r="DRA94" s="195"/>
      <c r="DRB94" s="195"/>
      <c r="DRC94" s="195"/>
      <c r="DRD94" s="195"/>
      <c r="DRE94" s="195"/>
      <c r="DRF94" s="195"/>
      <c r="DRG94" s="195"/>
      <c r="DRH94" s="195"/>
      <c r="DRI94" s="195"/>
      <c r="DRJ94" s="195"/>
      <c r="DRK94" s="195"/>
      <c r="DRL94" s="195"/>
      <c r="DRM94" s="195"/>
      <c r="DRN94" s="195"/>
      <c r="DRO94" s="195"/>
      <c r="DRP94" s="195"/>
      <c r="DRQ94" s="195"/>
      <c r="DRR94" s="195"/>
      <c r="DRS94" s="195"/>
      <c r="DRT94" s="195"/>
      <c r="DRU94" s="195"/>
      <c r="DRV94" s="195"/>
      <c r="DRW94" s="195"/>
      <c r="DRX94" s="195"/>
      <c r="DRY94" s="195"/>
      <c r="DRZ94" s="195"/>
      <c r="DSA94" s="195"/>
      <c r="DSB94" s="195"/>
      <c r="DSC94" s="195"/>
      <c r="DSD94" s="195"/>
      <c r="DSE94" s="195"/>
      <c r="DSF94" s="195"/>
      <c r="DSG94" s="195"/>
      <c r="DSH94" s="195"/>
      <c r="DSI94" s="195"/>
      <c r="DSJ94" s="195"/>
      <c r="DSK94" s="195"/>
      <c r="DSL94" s="195"/>
      <c r="DSM94" s="195"/>
      <c r="DSN94" s="195"/>
      <c r="DSO94" s="195"/>
      <c r="DSP94" s="195"/>
      <c r="DSQ94" s="195"/>
      <c r="DSR94" s="195"/>
      <c r="DSS94" s="195"/>
      <c r="DST94" s="195"/>
      <c r="DSU94" s="195"/>
      <c r="DSV94" s="195"/>
      <c r="DSW94" s="195"/>
      <c r="DSX94" s="195"/>
      <c r="DSY94" s="195"/>
      <c r="DSZ94" s="195"/>
      <c r="DTA94" s="195"/>
      <c r="DTB94" s="195"/>
      <c r="DTC94" s="195"/>
      <c r="DTD94" s="195"/>
      <c r="DTE94" s="195"/>
      <c r="DTF94" s="195"/>
      <c r="DTG94" s="195"/>
      <c r="DTH94" s="195"/>
      <c r="DTI94" s="195"/>
      <c r="DTJ94" s="195"/>
      <c r="DTK94" s="195"/>
      <c r="DTL94" s="195"/>
      <c r="DTM94" s="195"/>
      <c r="DTN94" s="195"/>
      <c r="DTO94" s="195"/>
      <c r="DTP94" s="195"/>
      <c r="DTQ94" s="195"/>
      <c r="DTR94" s="195"/>
      <c r="DTS94" s="195"/>
      <c r="DTT94" s="195"/>
      <c r="DTU94" s="195"/>
      <c r="DTV94" s="195"/>
      <c r="DTW94" s="195"/>
      <c r="DTX94" s="195"/>
      <c r="DTY94" s="195"/>
      <c r="DTZ94" s="195"/>
      <c r="DUA94" s="195"/>
      <c r="DUB94" s="195"/>
      <c r="DUC94" s="195"/>
      <c r="DUD94" s="195"/>
      <c r="DUE94" s="195"/>
      <c r="DUF94" s="195"/>
      <c r="DUG94" s="195"/>
      <c r="DUH94" s="195"/>
      <c r="DUI94" s="195"/>
      <c r="DUJ94" s="195"/>
      <c r="DUK94" s="195"/>
      <c r="DUL94" s="195"/>
      <c r="DUM94" s="195"/>
      <c r="DUN94" s="195"/>
      <c r="DUO94" s="195"/>
      <c r="DUP94" s="195"/>
      <c r="DUQ94" s="195"/>
      <c r="DUR94" s="195"/>
      <c r="DUS94" s="195"/>
      <c r="DUT94" s="195"/>
      <c r="DUU94" s="195"/>
      <c r="DUV94" s="195"/>
      <c r="DUW94" s="195"/>
      <c r="DUX94" s="195"/>
      <c r="DUY94" s="195"/>
      <c r="DUZ94" s="195"/>
      <c r="DVA94" s="195"/>
      <c r="DVB94" s="195"/>
      <c r="DVC94" s="195"/>
      <c r="DVD94" s="195"/>
      <c r="DVE94" s="195"/>
      <c r="DVF94" s="195"/>
      <c r="DVG94" s="195"/>
      <c r="DVH94" s="195"/>
      <c r="DVI94" s="195"/>
      <c r="DVJ94" s="195"/>
      <c r="DVK94" s="195"/>
      <c r="DVL94" s="195"/>
      <c r="DVM94" s="195"/>
      <c r="DVN94" s="195"/>
      <c r="DVO94" s="195"/>
      <c r="DVP94" s="195"/>
      <c r="DVQ94" s="195"/>
      <c r="DVR94" s="195"/>
      <c r="DVS94" s="195"/>
      <c r="DVT94" s="195"/>
      <c r="DVU94" s="195"/>
      <c r="DVV94" s="195"/>
      <c r="DVW94" s="195"/>
      <c r="DVX94" s="195"/>
      <c r="DVY94" s="195"/>
      <c r="DVZ94" s="195"/>
      <c r="DWA94" s="195"/>
      <c r="DWB94" s="195"/>
      <c r="DWC94" s="195"/>
      <c r="DWD94" s="195"/>
      <c r="DWE94" s="195"/>
      <c r="DWF94" s="195"/>
      <c r="DWG94" s="195"/>
      <c r="DWH94" s="195"/>
      <c r="DWI94" s="195"/>
      <c r="DWJ94" s="195"/>
      <c r="DWK94" s="195"/>
      <c r="DWL94" s="195"/>
      <c r="DWM94" s="195"/>
      <c r="DWN94" s="195"/>
      <c r="DWO94" s="195"/>
      <c r="DWP94" s="195"/>
      <c r="DWQ94" s="195"/>
      <c r="DWR94" s="195"/>
      <c r="DWS94" s="195"/>
      <c r="DWT94" s="195"/>
      <c r="DWU94" s="195"/>
      <c r="DWV94" s="195"/>
      <c r="DWW94" s="195"/>
      <c r="DWX94" s="195"/>
      <c r="DWY94" s="195"/>
      <c r="DWZ94" s="195"/>
      <c r="DXA94" s="195"/>
      <c r="DXB94" s="195"/>
      <c r="DXC94" s="195"/>
      <c r="DXD94" s="195"/>
      <c r="DXE94" s="195"/>
      <c r="DXF94" s="195"/>
      <c r="DXG94" s="195"/>
      <c r="DXH94" s="195"/>
      <c r="DXI94" s="195"/>
      <c r="DXJ94" s="195"/>
      <c r="DXK94" s="195"/>
      <c r="DXL94" s="195"/>
      <c r="DXM94" s="195"/>
      <c r="DXN94" s="195"/>
      <c r="DXO94" s="195"/>
      <c r="DXP94" s="195"/>
      <c r="DXQ94" s="195"/>
      <c r="DXR94" s="195"/>
      <c r="DXS94" s="195"/>
      <c r="DXT94" s="195"/>
      <c r="DXU94" s="195"/>
      <c r="DXV94" s="195"/>
      <c r="DXW94" s="195"/>
      <c r="DXX94" s="195"/>
      <c r="DXY94" s="195"/>
      <c r="DXZ94" s="195"/>
      <c r="DYA94" s="195"/>
      <c r="DYB94" s="195"/>
      <c r="DYC94" s="195"/>
      <c r="DYD94" s="195"/>
      <c r="DYE94" s="195"/>
      <c r="DYF94" s="195"/>
      <c r="DYG94" s="195"/>
      <c r="DYH94" s="195"/>
      <c r="DYI94" s="195"/>
      <c r="DYJ94" s="195"/>
      <c r="DYK94" s="195"/>
      <c r="DYL94" s="195"/>
      <c r="DYM94" s="195"/>
      <c r="DYN94" s="195"/>
      <c r="DYO94" s="195"/>
      <c r="DYP94" s="195"/>
      <c r="DYQ94" s="195"/>
      <c r="DYR94" s="195"/>
      <c r="DYS94" s="195"/>
      <c r="DYT94" s="195"/>
      <c r="DYU94" s="195"/>
      <c r="DYV94" s="195"/>
      <c r="DYW94" s="195"/>
      <c r="DYX94" s="195"/>
      <c r="DYY94" s="195"/>
      <c r="DYZ94" s="195"/>
      <c r="DZA94" s="195"/>
      <c r="DZB94" s="195"/>
      <c r="DZC94" s="195"/>
      <c r="DZD94" s="195"/>
      <c r="DZE94" s="195"/>
      <c r="DZF94" s="195"/>
      <c r="DZG94" s="195"/>
      <c r="DZH94" s="195"/>
      <c r="DZI94" s="195"/>
      <c r="DZJ94" s="195"/>
      <c r="DZK94" s="195"/>
      <c r="DZL94" s="195"/>
      <c r="DZM94" s="195"/>
      <c r="DZN94" s="195"/>
      <c r="DZO94" s="195"/>
      <c r="DZP94" s="195"/>
      <c r="DZQ94" s="195"/>
      <c r="DZR94" s="195"/>
      <c r="DZS94" s="195"/>
      <c r="DZT94" s="195"/>
      <c r="DZU94" s="195"/>
      <c r="DZV94" s="195"/>
      <c r="DZW94" s="195"/>
      <c r="DZX94" s="195"/>
      <c r="DZY94" s="195"/>
      <c r="DZZ94" s="195"/>
      <c r="EAA94" s="195"/>
      <c r="EAB94" s="195"/>
      <c r="EAC94" s="195"/>
      <c r="EAD94" s="195"/>
      <c r="EAE94" s="195"/>
      <c r="EAF94" s="195"/>
      <c r="EAG94" s="195"/>
      <c r="EAH94" s="195"/>
      <c r="EAI94" s="195"/>
      <c r="EAJ94" s="195"/>
      <c r="EAK94" s="195"/>
      <c r="EAL94" s="195"/>
      <c r="EAM94" s="195"/>
      <c r="EAN94" s="195"/>
      <c r="EAO94" s="195"/>
      <c r="EAP94" s="195"/>
      <c r="EAQ94" s="195"/>
      <c r="EAR94" s="195"/>
      <c r="EAS94" s="195"/>
      <c r="EAT94" s="195"/>
      <c r="EAU94" s="195"/>
      <c r="EAV94" s="195"/>
      <c r="EAW94" s="195"/>
      <c r="EAX94" s="195"/>
      <c r="EAY94" s="195"/>
      <c r="EAZ94" s="195"/>
      <c r="EBA94" s="195"/>
      <c r="EBB94" s="195"/>
      <c r="EBC94" s="195"/>
      <c r="EBD94" s="195"/>
      <c r="EBE94" s="195"/>
      <c r="EBF94" s="195"/>
      <c r="EBG94" s="195"/>
      <c r="EBH94" s="195"/>
      <c r="EBI94" s="195"/>
      <c r="EBJ94" s="195"/>
      <c r="EBK94" s="195"/>
      <c r="EBL94" s="195"/>
      <c r="EBM94" s="195"/>
      <c r="EBN94" s="195"/>
      <c r="EBO94" s="195"/>
      <c r="EBP94" s="195"/>
      <c r="EBQ94" s="195"/>
      <c r="EBR94" s="195"/>
      <c r="EBS94" s="195"/>
      <c r="EBT94" s="195"/>
      <c r="EBU94" s="195"/>
      <c r="EBV94" s="195"/>
      <c r="EBW94" s="195"/>
      <c r="EBX94" s="195"/>
      <c r="EBY94" s="195"/>
      <c r="EBZ94" s="195"/>
      <c r="ECA94" s="195"/>
      <c r="ECB94" s="195"/>
      <c r="ECC94" s="195"/>
      <c r="ECD94" s="195"/>
      <c r="ECE94" s="195"/>
      <c r="ECF94" s="195"/>
      <c r="ECG94" s="195"/>
      <c r="ECH94" s="195"/>
      <c r="ECI94" s="195"/>
      <c r="ECJ94" s="195"/>
      <c r="ECK94" s="195"/>
      <c r="ECL94" s="195"/>
      <c r="ECM94" s="195"/>
      <c r="ECN94" s="195"/>
      <c r="ECO94" s="195"/>
      <c r="ECP94" s="195"/>
      <c r="ECQ94" s="195"/>
      <c r="ECR94" s="195"/>
      <c r="ECS94" s="195"/>
      <c r="ECT94" s="195"/>
      <c r="ECU94" s="195"/>
      <c r="ECV94" s="195"/>
      <c r="ECW94" s="195"/>
      <c r="ECX94" s="195"/>
      <c r="ECY94" s="195"/>
      <c r="ECZ94" s="195"/>
      <c r="EDA94" s="195"/>
      <c r="EDB94" s="195"/>
      <c r="EDC94" s="195"/>
      <c r="EDD94" s="195"/>
      <c r="EDE94" s="195"/>
      <c r="EDF94" s="195"/>
      <c r="EDG94" s="195"/>
      <c r="EDH94" s="195"/>
      <c r="EDI94" s="195"/>
      <c r="EDJ94" s="195"/>
      <c r="EDK94" s="195"/>
      <c r="EDL94" s="195"/>
      <c r="EDM94" s="195"/>
      <c r="EDN94" s="195"/>
      <c r="EDO94" s="195"/>
      <c r="EDP94" s="195"/>
      <c r="EDQ94" s="195"/>
      <c r="EDR94" s="195"/>
      <c r="EDS94" s="195"/>
      <c r="EDT94" s="195"/>
      <c r="EDU94" s="195"/>
      <c r="EDV94" s="195"/>
      <c r="EDW94" s="195"/>
      <c r="EDX94" s="195"/>
      <c r="EDY94" s="195"/>
      <c r="EDZ94" s="195"/>
      <c r="EEA94" s="195"/>
      <c r="EEB94" s="195"/>
      <c r="EEC94" s="195"/>
      <c r="EED94" s="195"/>
      <c r="EEE94" s="195"/>
      <c r="EEF94" s="195"/>
      <c r="EEG94" s="195"/>
      <c r="EEH94" s="195"/>
      <c r="EEI94" s="195"/>
      <c r="EEJ94" s="195"/>
      <c r="EEK94" s="195"/>
      <c r="EEL94" s="195"/>
      <c r="EEM94" s="195"/>
      <c r="EEN94" s="195"/>
      <c r="EEO94" s="195"/>
      <c r="EEP94" s="195"/>
      <c r="EEQ94" s="195"/>
      <c r="EER94" s="195"/>
      <c r="EES94" s="195"/>
      <c r="EET94" s="195"/>
      <c r="EEU94" s="195"/>
      <c r="EEV94" s="195"/>
      <c r="EEW94" s="195"/>
      <c r="EEX94" s="195"/>
      <c r="EEY94" s="195"/>
      <c r="EEZ94" s="195"/>
      <c r="EFA94" s="195"/>
      <c r="EFB94" s="195"/>
      <c r="EFC94" s="195"/>
      <c r="EFD94" s="195"/>
      <c r="EFE94" s="195"/>
      <c r="EFF94" s="195"/>
      <c r="EFG94" s="195"/>
      <c r="EFH94" s="195"/>
      <c r="EFI94" s="195"/>
      <c r="EFJ94" s="195"/>
      <c r="EFK94" s="195"/>
      <c r="EFL94" s="195"/>
      <c r="EFM94" s="195"/>
      <c r="EFN94" s="195"/>
      <c r="EFO94" s="195"/>
      <c r="EFP94" s="195"/>
      <c r="EFQ94" s="195"/>
      <c r="EFR94" s="195"/>
      <c r="EFS94" s="195"/>
      <c r="EFT94" s="195"/>
      <c r="EFU94" s="195"/>
      <c r="EFV94" s="195"/>
      <c r="EFW94" s="195"/>
      <c r="EFX94" s="195"/>
      <c r="EFY94" s="195"/>
      <c r="EFZ94" s="195"/>
      <c r="EGA94" s="195"/>
      <c r="EGB94" s="195"/>
      <c r="EGC94" s="195"/>
      <c r="EGD94" s="195"/>
      <c r="EGE94" s="195"/>
      <c r="EGF94" s="195"/>
      <c r="EGG94" s="195"/>
      <c r="EGH94" s="195"/>
      <c r="EGI94" s="195"/>
      <c r="EGJ94" s="195"/>
      <c r="EGK94" s="195"/>
      <c r="EGL94" s="195"/>
      <c r="EGM94" s="195"/>
      <c r="EGN94" s="195"/>
      <c r="EGO94" s="195"/>
      <c r="EGP94" s="195"/>
      <c r="EGQ94" s="195"/>
      <c r="EGR94" s="195"/>
      <c r="EGS94" s="195"/>
      <c r="EGT94" s="195"/>
      <c r="EGU94" s="195"/>
      <c r="EGV94" s="195"/>
      <c r="EGW94" s="195"/>
      <c r="EGX94" s="195"/>
      <c r="EGY94" s="195"/>
      <c r="EGZ94" s="195"/>
      <c r="EHA94" s="195"/>
      <c r="EHB94" s="195"/>
      <c r="EHC94" s="195"/>
      <c r="EHD94" s="195"/>
      <c r="EHE94" s="195"/>
      <c r="EHF94" s="195"/>
      <c r="EHG94" s="195"/>
      <c r="EHH94" s="195"/>
      <c r="EHI94" s="195"/>
      <c r="EHJ94" s="195"/>
      <c r="EHK94" s="195"/>
      <c r="EHL94" s="195"/>
      <c r="EHM94" s="195"/>
      <c r="EHN94" s="195"/>
      <c r="EHO94" s="195"/>
      <c r="EHP94" s="195"/>
      <c r="EHQ94" s="195"/>
      <c r="EHR94" s="195"/>
      <c r="EHS94" s="195"/>
      <c r="EHT94" s="195"/>
      <c r="EHU94" s="195"/>
      <c r="EHV94" s="195"/>
      <c r="EHW94" s="195"/>
      <c r="EHX94" s="195"/>
      <c r="EHY94" s="195"/>
      <c r="EHZ94" s="195"/>
      <c r="EIA94" s="195"/>
      <c r="EIB94" s="195"/>
      <c r="EIC94" s="195"/>
      <c r="EID94" s="195"/>
      <c r="EIE94" s="195"/>
      <c r="EIF94" s="195"/>
      <c r="EIG94" s="195"/>
      <c r="EIH94" s="195"/>
      <c r="EII94" s="195"/>
      <c r="EIJ94" s="195"/>
      <c r="EIK94" s="195"/>
      <c r="EIL94" s="195"/>
      <c r="EIM94" s="195"/>
      <c r="EIN94" s="195"/>
      <c r="EIO94" s="195"/>
      <c r="EIP94" s="195"/>
      <c r="EIQ94" s="195"/>
      <c r="EIR94" s="195"/>
      <c r="EIS94" s="195"/>
      <c r="EIT94" s="195"/>
      <c r="EIU94" s="195"/>
      <c r="EIV94" s="195"/>
      <c r="EIW94" s="195"/>
      <c r="EIX94" s="195"/>
      <c r="EIY94" s="195"/>
      <c r="EIZ94" s="195"/>
      <c r="EJA94" s="195"/>
      <c r="EJB94" s="195"/>
      <c r="EJC94" s="195"/>
      <c r="EJD94" s="195"/>
      <c r="EJE94" s="195"/>
      <c r="EJF94" s="195"/>
      <c r="EJG94" s="195"/>
      <c r="EJH94" s="195"/>
      <c r="EJI94" s="195"/>
      <c r="EJJ94" s="195"/>
      <c r="EJK94" s="195"/>
      <c r="EJL94" s="195"/>
      <c r="EJM94" s="195"/>
      <c r="EJN94" s="195"/>
      <c r="EJO94" s="195"/>
      <c r="EJP94" s="195"/>
      <c r="EJQ94" s="195"/>
      <c r="EJR94" s="195"/>
      <c r="EJS94" s="195"/>
      <c r="EJT94" s="195"/>
      <c r="EJU94" s="195"/>
      <c r="EJV94" s="195"/>
      <c r="EJW94" s="195"/>
      <c r="EJX94" s="195"/>
      <c r="EJY94" s="195"/>
      <c r="EJZ94" s="195"/>
      <c r="EKA94" s="195"/>
      <c r="EKB94" s="195"/>
      <c r="EKC94" s="195"/>
      <c r="EKD94" s="195"/>
      <c r="EKE94" s="195"/>
      <c r="EKF94" s="195"/>
      <c r="EKG94" s="195"/>
      <c r="EKH94" s="195"/>
      <c r="EKI94" s="195"/>
      <c r="EKJ94" s="195"/>
      <c r="EKK94" s="195"/>
      <c r="EKL94" s="195"/>
      <c r="EKM94" s="195"/>
      <c r="EKN94" s="195"/>
      <c r="EKO94" s="195"/>
      <c r="EKP94" s="195"/>
      <c r="EKQ94" s="195"/>
      <c r="EKR94" s="195"/>
      <c r="EKS94" s="195"/>
      <c r="EKT94" s="195"/>
      <c r="EKU94" s="195"/>
      <c r="EKV94" s="195"/>
      <c r="EKW94" s="195"/>
      <c r="EKX94" s="195"/>
      <c r="EKY94" s="195"/>
      <c r="EKZ94" s="195"/>
      <c r="ELA94" s="195"/>
      <c r="ELB94" s="195"/>
      <c r="ELC94" s="195"/>
      <c r="ELD94" s="195"/>
      <c r="ELE94" s="195"/>
      <c r="ELF94" s="195"/>
      <c r="ELG94" s="195"/>
      <c r="ELH94" s="195"/>
      <c r="ELI94" s="195"/>
      <c r="ELJ94" s="195"/>
      <c r="ELK94" s="195"/>
      <c r="ELL94" s="195"/>
      <c r="ELM94" s="195"/>
      <c r="ELN94" s="195"/>
      <c r="ELO94" s="195"/>
      <c r="ELP94" s="195"/>
      <c r="ELQ94" s="195"/>
      <c r="ELR94" s="195"/>
      <c r="ELS94" s="195"/>
      <c r="ELT94" s="195"/>
      <c r="ELU94" s="195"/>
      <c r="ELV94" s="195"/>
      <c r="ELW94" s="195"/>
      <c r="ELX94" s="195"/>
      <c r="ELY94" s="195"/>
      <c r="ELZ94" s="195"/>
      <c r="EMA94" s="195"/>
      <c r="EMB94" s="195"/>
      <c r="EMC94" s="195"/>
      <c r="EMD94" s="195"/>
      <c r="EME94" s="195"/>
      <c r="EMF94" s="195"/>
      <c r="EMG94" s="195"/>
      <c r="EMH94" s="195"/>
      <c r="EMI94" s="195"/>
      <c r="EMJ94" s="195"/>
      <c r="EMK94" s="195"/>
      <c r="EML94" s="195"/>
      <c r="EMM94" s="195"/>
      <c r="EMN94" s="195"/>
      <c r="EMO94" s="195"/>
      <c r="EMP94" s="195"/>
      <c r="EMQ94" s="195"/>
      <c r="EMR94" s="195"/>
      <c r="EMS94" s="195"/>
      <c r="EMT94" s="195"/>
      <c r="EMU94" s="195"/>
      <c r="EMV94" s="195"/>
      <c r="EMW94" s="195"/>
      <c r="EMX94" s="195"/>
      <c r="EMY94" s="195"/>
      <c r="EMZ94" s="195"/>
      <c r="ENA94" s="195"/>
      <c r="ENB94" s="195"/>
      <c r="ENC94" s="195"/>
      <c r="END94" s="195"/>
      <c r="ENE94" s="195"/>
      <c r="ENF94" s="195"/>
      <c r="ENG94" s="195"/>
      <c r="ENH94" s="195"/>
      <c r="ENI94" s="195"/>
      <c r="ENJ94" s="195"/>
      <c r="ENK94" s="195"/>
      <c r="ENL94" s="195"/>
      <c r="ENM94" s="195"/>
      <c r="ENN94" s="195"/>
      <c r="ENO94" s="195"/>
      <c r="ENP94" s="195"/>
      <c r="ENQ94" s="195"/>
      <c r="ENR94" s="195"/>
      <c r="ENS94" s="195"/>
      <c r="ENT94" s="195"/>
      <c r="ENU94" s="195"/>
      <c r="ENV94" s="195"/>
      <c r="ENW94" s="195"/>
      <c r="ENX94" s="195"/>
      <c r="ENY94" s="195"/>
      <c r="ENZ94" s="195"/>
      <c r="EOA94" s="195"/>
      <c r="EOB94" s="195"/>
      <c r="EOC94" s="195"/>
      <c r="EOD94" s="195"/>
      <c r="EOE94" s="195"/>
      <c r="EOF94" s="195"/>
      <c r="EOG94" s="195"/>
      <c r="EOH94" s="195"/>
      <c r="EOI94" s="195"/>
      <c r="EOJ94" s="195"/>
      <c r="EOK94" s="195"/>
      <c r="EOL94" s="195"/>
      <c r="EOM94" s="195"/>
      <c r="EON94" s="195"/>
      <c r="EOO94" s="195"/>
      <c r="EOP94" s="195"/>
      <c r="EOQ94" s="195"/>
      <c r="EOR94" s="195"/>
      <c r="EOS94" s="195"/>
      <c r="EOT94" s="195"/>
      <c r="EOU94" s="195"/>
      <c r="EOV94" s="195"/>
      <c r="EOW94" s="195"/>
      <c r="EOX94" s="195"/>
      <c r="EOY94" s="195"/>
      <c r="EOZ94" s="195"/>
      <c r="EPA94" s="195"/>
      <c r="EPB94" s="195"/>
      <c r="EPC94" s="195"/>
      <c r="EPD94" s="195"/>
      <c r="EPE94" s="195"/>
      <c r="EPF94" s="195"/>
      <c r="EPG94" s="195"/>
      <c r="EPH94" s="195"/>
      <c r="EPI94" s="195"/>
      <c r="EPJ94" s="195"/>
      <c r="EPK94" s="195"/>
      <c r="EPL94" s="195"/>
      <c r="EPM94" s="195"/>
      <c r="EPN94" s="195"/>
      <c r="EPO94" s="195"/>
      <c r="EPP94" s="195"/>
      <c r="EPQ94" s="195"/>
      <c r="EPR94" s="195"/>
      <c r="EPS94" s="195"/>
      <c r="EPT94" s="195"/>
      <c r="EPU94" s="195"/>
      <c r="EPV94" s="195"/>
      <c r="EPW94" s="195"/>
      <c r="EPX94" s="195"/>
      <c r="EPY94" s="195"/>
      <c r="EPZ94" s="195"/>
      <c r="EQA94" s="195"/>
      <c r="EQB94" s="195"/>
      <c r="EQC94" s="195"/>
      <c r="EQD94" s="195"/>
      <c r="EQE94" s="195"/>
      <c r="EQF94" s="195"/>
      <c r="EQG94" s="195"/>
      <c r="EQH94" s="195"/>
      <c r="EQI94" s="195"/>
      <c r="EQJ94" s="195"/>
      <c r="EQK94" s="195"/>
      <c r="EQL94" s="195"/>
      <c r="EQM94" s="195"/>
      <c r="EQN94" s="195"/>
      <c r="EQO94" s="195"/>
      <c r="EQP94" s="195"/>
      <c r="EQQ94" s="195"/>
      <c r="EQR94" s="195"/>
      <c r="EQS94" s="195"/>
      <c r="EQT94" s="195"/>
      <c r="EQU94" s="195"/>
      <c r="EQV94" s="195"/>
      <c r="EQW94" s="195"/>
      <c r="EQX94" s="195"/>
      <c r="EQY94" s="195"/>
      <c r="EQZ94" s="195"/>
      <c r="ERA94" s="195"/>
      <c r="ERB94" s="195"/>
      <c r="ERC94" s="195"/>
      <c r="ERD94" s="195"/>
      <c r="ERE94" s="195"/>
      <c r="ERF94" s="195"/>
      <c r="ERG94" s="195"/>
      <c r="ERH94" s="195"/>
      <c r="ERI94" s="195"/>
      <c r="ERJ94" s="195"/>
      <c r="ERK94" s="195"/>
      <c r="ERL94" s="195"/>
      <c r="ERM94" s="195"/>
      <c r="ERN94" s="195"/>
      <c r="ERO94" s="195"/>
      <c r="ERP94" s="195"/>
      <c r="ERQ94" s="195"/>
      <c r="ERR94" s="195"/>
      <c r="ERS94" s="195"/>
      <c r="ERT94" s="195"/>
      <c r="ERU94" s="195"/>
      <c r="ERV94" s="195"/>
      <c r="ERW94" s="195"/>
      <c r="ERX94" s="195"/>
      <c r="ERY94" s="195"/>
      <c r="ERZ94" s="195"/>
      <c r="ESA94" s="195"/>
      <c r="ESB94" s="195"/>
      <c r="ESC94" s="195"/>
      <c r="ESD94" s="195"/>
      <c r="ESE94" s="195"/>
      <c r="ESF94" s="195"/>
      <c r="ESG94" s="195"/>
      <c r="ESH94" s="195"/>
      <c r="ESI94" s="195"/>
      <c r="ESJ94" s="195"/>
      <c r="ESK94" s="195"/>
      <c r="ESL94" s="195"/>
      <c r="ESM94" s="195"/>
      <c r="ESN94" s="195"/>
      <c r="ESO94" s="195"/>
      <c r="ESP94" s="195"/>
      <c r="ESQ94" s="195"/>
      <c r="ESR94" s="195"/>
      <c r="ESS94" s="195"/>
      <c r="EST94" s="195"/>
      <c r="ESU94" s="195"/>
      <c r="ESV94" s="195"/>
      <c r="ESW94" s="195"/>
      <c r="ESX94" s="195"/>
      <c r="ESY94" s="195"/>
      <c r="ESZ94" s="195"/>
      <c r="ETA94" s="195"/>
      <c r="ETB94" s="195"/>
      <c r="ETC94" s="195"/>
      <c r="ETD94" s="195"/>
      <c r="ETE94" s="195"/>
      <c r="ETF94" s="195"/>
      <c r="ETG94" s="195"/>
      <c r="ETH94" s="195"/>
      <c r="ETI94" s="195"/>
      <c r="ETJ94" s="195"/>
      <c r="ETK94" s="195"/>
      <c r="ETL94" s="195"/>
      <c r="ETM94" s="195"/>
      <c r="ETN94" s="195"/>
      <c r="ETO94" s="195"/>
      <c r="ETP94" s="195"/>
      <c r="ETQ94" s="195"/>
      <c r="ETR94" s="195"/>
      <c r="ETS94" s="195"/>
      <c r="ETT94" s="195"/>
      <c r="ETU94" s="195"/>
      <c r="ETV94" s="195"/>
      <c r="ETW94" s="195"/>
      <c r="ETX94" s="195"/>
      <c r="ETY94" s="195"/>
      <c r="ETZ94" s="195"/>
      <c r="EUA94" s="195"/>
      <c r="EUB94" s="195"/>
      <c r="EUC94" s="195"/>
      <c r="EUD94" s="195"/>
      <c r="EUE94" s="195"/>
      <c r="EUF94" s="195"/>
      <c r="EUG94" s="195"/>
      <c r="EUH94" s="195"/>
      <c r="EUI94" s="195"/>
      <c r="EUJ94" s="195"/>
      <c r="EUK94" s="195"/>
      <c r="EUL94" s="195"/>
      <c r="EUM94" s="195"/>
      <c r="EUN94" s="195"/>
      <c r="EUO94" s="195"/>
      <c r="EUP94" s="195"/>
      <c r="EUQ94" s="195"/>
      <c r="EUR94" s="195"/>
      <c r="EUS94" s="195"/>
      <c r="EUT94" s="195"/>
      <c r="EUU94" s="195"/>
      <c r="EUV94" s="195"/>
      <c r="EUW94" s="195"/>
      <c r="EUX94" s="195"/>
      <c r="EUY94" s="195"/>
      <c r="EUZ94" s="195"/>
      <c r="EVA94" s="195"/>
      <c r="EVB94" s="195"/>
      <c r="EVC94" s="195"/>
      <c r="EVD94" s="195"/>
      <c r="EVE94" s="195"/>
      <c r="EVF94" s="195"/>
      <c r="EVG94" s="195"/>
      <c r="EVH94" s="195"/>
      <c r="EVI94" s="195"/>
      <c r="EVJ94" s="195"/>
      <c r="EVK94" s="195"/>
      <c r="EVL94" s="195"/>
      <c r="EVM94" s="195"/>
      <c r="EVN94" s="195"/>
      <c r="EVO94" s="195"/>
      <c r="EVP94" s="195"/>
      <c r="EVQ94" s="195"/>
      <c r="EVR94" s="195"/>
      <c r="EVS94" s="195"/>
      <c r="EVT94" s="195"/>
      <c r="EVU94" s="195"/>
      <c r="EVV94" s="195"/>
      <c r="EVW94" s="195"/>
      <c r="EVX94" s="195"/>
      <c r="EVY94" s="195"/>
      <c r="EVZ94" s="195"/>
      <c r="EWA94" s="195"/>
      <c r="EWB94" s="195"/>
      <c r="EWC94" s="195"/>
      <c r="EWD94" s="195"/>
      <c r="EWE94" s="195"/>
      <c r="EWF94" s="195"/>
      <c r="EWG94" s="195"/>
      <c r="EWH94" s="195"/>
      <c r="EWI94" s="195"/>
      <c r="EWJ94" s="195"/>
      <c r="EWK94" s="195"/>
      <c r="EWL94" s="195"/>
      <c r="EWM94" s="195"/>
      <c r="EWN94" s="195"/>
      <c r="EWO94" s="195"/>
      <c r="EWP94" s="195"/>
      <c r="EWQ94" s="195"/>
      <c r="EWR94" s="195"/>
      <c r="EWS94" s="195"/>
      <c r="EWT94" s="195"/>
      <c r="EWU94" s="195"/>
      <c r="EWV94" s="195"/>
      <c r="EWW94" s="195"/>
      <c r="EWX94" s="195"/>
      <c r="EWY94" s="195"/>
      <c r="EWZ94" s="195"/>
      <c r="EXA94" s="195"/>
      <c r="EXB94" s="195"/>
      <c r="EXC94" s="195"/>
      <c r="EXD94" s="195"/>
      <c r="EXE94" s="195"/>
      <c r="EXF94" s="195"/>
      <c r="EXG94" s="195"/>
      <c r="EXH94" s="195"/>
      <c r="EXI94" s="195"/>
      <c r="EXJ94" s="195"/>
      <c r="EXK94" s="195"/>
      <c r="EXL94" s="195"/>
      <c r="EXM94" s="195"/>
      <c r="EXN94" s="195"/>
      <c r="EXO94" s="195"/>
      <c r="EXP94" s="195"/>
      <c r="EXQ94" s="195"/>
      <c r="EXR94" s="195"/>
      <c r="EXS94" s="195"/>
      <c r="EXT94" s="195"/>
      <c r="EXU94" s="195"/>
      <c r="EXV94" s="195"/>
      <c r="EXW94" s="195"/>
      <c r="EXX94" s="195"/>
      <c r="EXY94" s="195"/>
      <c r="EXZ94" s="195"/>
      <c r="EYA94" s="195"/>
      <c r="EYB94" s="195"/>
      <c r="EYC94" s="195"/>
      <c r="EYD94" s="195"/>
      <c r="EYE94" s="195"/>
      <c r="EYF94" s="195"/>
      <c r="EYG94" s="195"/>
      <c r="EYH94" s="195"/>
      <c r="EYI94" s="195"/>
      <c r="EYJ94" s="195"/>
      <c r="EYK94" s="195"/>
      <c r="EYL94" s="195"/>
      <c r="EYM94" s="195"/>
      <c r="EYN94" s="195"/>
      <c r="EYO94" s="195"/>
      <c r="EYP94" s="195"/>
      <c r="EYQ94" s="195"/>
      <c r="EYR94" s="195"/>
      <c r="EYS94" s="195"/>
      <c r="EYT94" s="195"/>
      <c r="EYU94" s="195"/>
      <c r="EYV94" s="195"/>
      <c r="EYW94" s="195"/>
      <c r="EYX94" s="195"/>
      <c r="EYY94" s="195"/>
      <c r="EYZ94" s="195"/>
      <c r="EZA94" s="195"/>
      <c r="EZB94" s="195"/>
      <c r="EZC94" s="195"/>
      <c r="EZD94" s="195"/>
      <c r="EZE94" s="195"/>
      <c r="EZF94" s="195"/>
      <c r="EZG94" s="195"/>
      <c r="EZH94" s="195"/>
      <c r="EZI94" s="195"/>
      <c r="EZJ94" s="195"/>
      <c r="EZK94" s="195"/>
      <c r="EZL94" s="195"/>
      <c r="EZM94" s="195"/>
      <c r="EZN94" s="195"/>
      <c r="EZO94" s="195"/>
      <c r="EZP94" s="195"/>
      <c r="EZQ94" s="195"/>
      <c r="EZR94" s="195"/>
      <c r="EZS94" s="195"/>
      <c r="EZT94" s="195"/>
      <c r="EZU94" s="195"/>
      <c r="EZV94" s="195"/>
      <c r="EZW94" s="195"/>
      <c r="EZX94" s="195"/>
      <c r="EZY94" s="195"/>
      <c r="EZZ94" s="195"/>
      <c r="FAA94" s="195"/>
      <c r="FAB94" s="195"/>
      <c r="FAC94" s="195"/>
      <c r="FAD94" s="195"/>
      <c r="FAE94" s="195"/>
      <c r="FAF94" s="195"/>
      <c r="FAG94" s="195"/>
      <c r="FAH94" s="195"/>
      <c r="FAI94" s="195"/>
      <c r="FAJ94" s="195"/>
      <c r="FAK94" s="195"/>
      <c r="FAL94" s="195"/>
      <c r="FAM94" s="195"/>
      <c r="FAN94" s="195"/>
      <c r="FAO94" s="195"/>
      <c r="FAP94" s="195"/>
      <c r="FAQ94" s="195"/>
      <c r="FAR94" s="195"/>
      <c r="FAS94" s="195"/>
      <c r="FAT94" s="195"/>
      <c r="FAU94" s="195"/>
      <c r="FAV94" s="195"/>
      <c r="FAW94" s="195"/>
      <c r="FAX94" s="195"/>
      <c r="FAY94" s="195"/>
      <c r="FAZ94" s="195"/>
      <c r="FBA94" s="195"/>
      <c r="FBB94" s="195"/>
      <c r="FBC94" s="195"/>
      <c r="FBD94" s="195"/>
      <c r="FBE94" s="195"/>
      <c r="FBF94" s="195"/>
      <c r="FBG94" s="195"/>
      <c r="FBH94" s="195"/>
      <c r="FBI94" s="195"/>
      <c r="FBJ94" s="195"/>
      <c r="FBK94" s="195"/>
      <c r="FBL94" s="195"/>
      <c r="FBM94" s="195"/>
      <c r="FBN94" s="195"/>
      <c r="FBO94" s="195"/>
      <c r="FBP94" s="195"/>
      <c r="FBQ94" s="195"/>
      <c r="FBR94" s="195"/>
      <c r="FBS94" s="195"/>
      <c r="FBT94" s="195"/>
      <c r="FBU94" s="195"/>
      <c r="FBV94" s="195"/>
      <c r="FBW94" s="195"/>
      <c r="FBX94" s="195"/>
      <c r="FBY94" s="195"/>
      <c r="FBZ94" s="195"/>
      <c r="FCA94" s="195"/>
      <c r="FCB94" s="195"/>
      <c r="FCC94" s="195"/>
      <c r="FCD94" s="195"/>
      <c r="FCE94" s="195"/>
      <c r="FCF94" s="195"/>
      <c r="FCG94" s="195"/>
      <c r="FCH94" s="195"/>
      <c r="FCI94" s="195"/>
      <c r="FCJ94" s="195"/>
      <c r="FCK94" s="195"/>
      <c r="FCL94" s="195"/>
      <c r="FCM94" s="195"/>
      <c r="FCN94" s="195"/>
      <c r="FCO94" s="195"/>
      <c r="FCP94" s="195"/>
      <c r="FCQ94" s="195"/>
      <c r="FCR94" s="195"/>
      <c r="FCS94" s="195"/>
      <c r="FCT94" s="195"/>
      <c r="FCU94" s="195"/>
      <c r="FCV94" s="195"/>
      <c r="FCW94" s="195"/>
      <c r="FCX94" s="195"/>
      <c r="FCY94" s="195"/>
      <c r="FCZ94" s="195"/>
      <c r="FDA94" s="195"/>
      <c r="FDB94" s="195"/>
      <c r="FDC94" s="195"/>
      <c r="FDD94" s="195"/>
      <c r="FDE94" s="195"/>
      <c r="FDF94" s="195"/>
      <c r="FDG94" s="195"/>
      <c r="FDH94" s="195"/>
      <c r="FDI94" s="195"/>
      <c r="FDJ94" s="195"/>
      <c r="FDK94" s="195"/>
      <c r="FDL94" s="195"/>
      <c r="FDM94" s="195"/>
      <c r="FDN94" s="195"/>
      <c r="FDO94" s="195"/>
      <c r="FDP94" s="195"/>
      <c r="FDQ94" s="195"/>
      <c r="FDR94" s="195"/>
      <c r="FDS94" s="195"/>
      <c r="FDT94" s="195"/>
      <c r="FDU94" s="195"/>
      <c r="FDV94" s="195"/>
      <c r="FDW94" s="195"/>
      <c r="FDX94" s="195"/>
      <c r="FDY94" s="195"/>
      <c r="FDZ94" s="195"/>
      <c r="FEA94" s="195"/>
      <c r="FEB94" s="195"/>
      <c r="FEC94" s="195"/>
      <c r="FED94" s="195"/>
      <c r="FEE94" s="195"/>
      <c r="FEF94" s="195"/>
      <c r="FEG94" s="195"/>
      <c r="FEH94" s="195"/>
      <c r="FEI94" s="195"/>
      <c r="FEJ94" s="195"/>
      <c r="FEK94" s="195"/>
      <c r="FEL94" s="195"/>
      <c r="FEM94" s="195"/>
      <c r="FEN94" s="195"/>
      <c r="FEO94" s="195"/>
      <c r="FEP94" s="195"/>
      <c r="FEQ94" s="195"/>
      <c r="FER94" s="195"/>
      <c r="FES94" s="195"/>
      <c r="FET94" s="195"/>
      <c r="FEU94" s="195"/>
      <c r="FEV94" s="195"/>
      <c r="FEW94" s="195"/>
      <c r="FEX94" s="195"/>
      <c r="FEY94" s="195"/>
      <c r="FEZ94" s="195"/>
      <c r="FFA94" s="195"/>
      <c r="FFB94" s="195"/>
      <c r="FFC94" s="195"/>
      <c r="FFD94" s="195"/>
      <c r="FFE94" s="195"/>
      <c r="FFF94" s="195"/>
      <c r="FFG94" s="195"/>
      <c r="FFH94" s="195"/>
      <c r="FFI94" s="195"/>
      <c r="FFJ94" s="195"/>
      <c r="FFK94" s="195"/>
      <c r="FFL94" s="195"/>
      <c r="FFM94" s="195"/>
      <c r="FFN94" s="195"/>
      <c r="FFO94" s="195"/>
      <c r="FFP94" s="195"/>
      <c r="FFQ94" s="195"/>
      <c r="FFR94" s="195"/>
      <c r="FFS94" s="195"/>
      <c r="FFT94" s="195"/>
      <c r="FFU94" s="195"/>
      <c r="FFV94" s="195"/>
      <c r="FFW94" s="195"/>
      <c r="FFX94" s="195"/>
      <c r="FFY94" s="195"/>
      <c r="FFZ94" s="195"/>
      <c r="FGA94" s="195"/>
      <c r="FGB94" s="195"/>
      <c r="FGC94" s="195"/>
      <c r="FGD94" s="195"/>
      <c r="FGE94" s="195"/>
      <c r="FGF94" s="195"/>
      <c r="FGG94" s="195"/>
      <c r="FGH94" s="195"/>
      <c r="FGI94" s="195"/>
      <c r="FGJ94" s="195"/>
      <c r="FGK94" s="195"/>
      <c r="FGL94" s="195"/>
      <c r="FGM94" s="195"/>
      <c r="FGN94" s="195"/>
      <c r="FGO94" s="195"/>
      <c r="FGP94" s="195"/>
      <c r="FGQ94" s="195"/>
      <c r="FGR94" s="195"/>
      <c r="FGS94" s="195"/>
      <c r="FGT94" s="195"/>
      <c r="FGU94" s="195"/>
      <c r="FGV94" s="195"/>
      <c r="FGW94" s="195"/>
      <c r="FGX94" s="195"/>
      <c r="FGY94" s="195"/>
      <c r="FGZ94" s="195"/>
      <c r="FHA94" s="195"/>
      <c r="FHB94" s="195"/>
      <c r="FHC94" s="195"/>
      <c r="FHD94" s="195"/>
      <c r="FHE94" s="195"/>
      <c r="FHF94" s="195"/>
      <c r="FHG94" s="195"/>
      <c r="FHH94" s="195"/>
      <c r="FHI94" s="195"/>
      <c r="FHJ94" s="195"/>
      <c r="FHK94" s="195"/>
      <c r="FHL94" s="195"/>
      <c r="FHM94" s="195"/>
      <c r="FHN94" s="195"/>
      <c r="FHO94" s="195"/>
      <c r="FHP94" s="195"/>
      <c r="FHQ94" s="195"/>
      <c r="FHR94" s="195"/>
      <c r="FHS94" s="195"/>
      <c r="FHT94" s="195"/>
      <c r="FHU94" s="195"/>
      <c r="FHV94" s="195"/>
      <c r="FHW94" s="195"/>
      <c r="FHX94" s="195"/>
      <c r="FHY94" s="195"/>
      <c r="FHZ94" s="195"/>
      <c r="FIA94" s="195"/>
      <c r="FIB94" s="195"/>
      <c r="FIC94" s="195"/>
      <c r="FID94" s="195"/>
      <c r="FIE94" s="195"/>
      <c r="FIF94" s="195"/>
      <c r="FIG94" s="195"/>
      <c r="FIH94" s="195"/>
      <c r="FII94" s="195"/>
      <c r="FIJ94" s="195"/>
      <c r="FIK94" s="195"/>
      <c r="FIL94" s="195"/>
      <c r="FIM94" s="195"/>
      <c r="FIN94" s="195"/>
      <c r="FIO94" s="195"/>
      <c r="FIP94" s="195"/>
      <c r="FIQ94" s="195"/>
      <c r="FIR94" s="195"/>
      <c r="FIS94" s="195"/>
      <c r="FIT94" s="195"/>
      <c r="FIU94" s="195"/>
      <c r="FIV94" s="195"/>
      <c r="FIW94" s="195"/>
      <c r="FIX94" s="195"/>
      <c r="FIY94" s="195"/>
      <c r="FIZ94" s="195"/>
      <c r="FJA94" s="195"/>
      <c r="FJB94" s="195"/>
      <c r="FJC94" s="195"/>
      <c r="FJD94" s="195"/>
      <c r="FJE94" s="195"/>
      <c r="FJF94" s="195"/>
      <c r="FJG94" s="195"/>
      <c r="FJH94" s="195"/>
      <c r="FJI94" s="195"/>
      <c r="FJJ94" s="195"/>
      <c r="FJK94" s="195"/>
      <c r="FJL94" s="195"/>
      <c r="FJM94" s="195"/>
      <c r="FJN94" s="195"/>
      <c r="FJO94" s="195"/>
      <c r="FJP94" s="195"/>
      <c r="FJQ94" s="195"/>
      <c r="FJR94" s="195"/>
      <c r="FJS94" s="195"/>
      <c r="FJT94" s="195"/>
      <c r="FJU94" s="195"/>
      <c r="FJV94" s="195"/>
      <c r="FJW94" s="195"/>
      <c r="FJX94" s="195"/>
      <c r="FJY94" s="195"/>
      <c r="FJZ94" s="195"/>
      <c r="FKA94" s="195"/>
      <c r="FKB94" s="195"/>
      <c r="FKC94" s="195"/>
      <c r="FKD94" s="195"/>
      <c r="FKE94" s="195"/>
      <c r="FKF94" s="195"/>
      <c r="FKG94" s="195"/>
      <c r="FKH94" s="195"/>
      <c r="FKI94" s="195"/>
      <c r="FKJ94" s="195"/>
      <c r="FKK94" s="195"/>
      <c r="FKL94" s="195"/>
      <c r="FKM94" s="195"/>
      <c r="FKN94" s="195"/>
      <c r="FKO94" s="195"/>
      <c r="FKP94" s="195"/>
      <c r="FKQ94" s="195"/>
      <c r="FKR94" s="195"/>
      <c r="FKS94" s="195"/>
      <c r="FKT94" s="195"/>
      <c r="FKU94" s="195"/>
      <c r="FKV94" s="195"/>
      <c r="FKW94" s="195"/>
      <c r="FKX94" s="195"/>
      <c r="FKY94" s="195"/>
      <c r="FKZ94" s="195"/>
      <c r="FLA94" s="195"/>
      <c r="FLB94" s="195"/>
      <c r="FLC94" s="195"/>
      <c r="FLD94" s="195"/>
      <c r="FLE94" s="195"/>
      <c r="FLF94" s="195"/>
      <c r="FLG94" s="195"/>
      <c r="FLH94" s="195"/>
      <c r="FLI94" s="195"/>
      <c r="FLJ94" s="195"/>
      <c r="FLK94" s="195"/>
      <c r="FLL94" s="195"/>
      <c r="FLM94" s="195"/>
      <c r="FLN94" s="195"/>
      <c r="FLO94" s="195"/>
      <c r="FLP94" s="195"/>
      <c r="FLQ94" s="195"/>
      <c r="FLR94" s="195"/>
      <c r="FLS94" s="195"/>
      <c r="FLT94" s="195"/>
      <c r="FLU94" s="195"/>
      <c r="FLV94" s="195"/>
      <c r="FLW94" s="195"/>
      <c r="FLX94" s="195"/>
      <c r="FLY94" s="195"/>
      <c r="FLZ94" s="195"/>
      <c r="FMA94" s="195"/>
      <c r="FMB94" s="195"/>
      <c r="FMC94" s="195"/>
      <c r="FMD94" s="195"/>
      <c r="FME94" s="195"/>
      <c r="FMF94" s="195"/>
      <c r="FMG94" s="195"/>
      <c r="FMH94" s="195"/>
      <c r="FMI94" s="195"/>
      <c r="FMJ94" s="195"/>
      <c r="FMK94" s="195"/>
      <c r="FML94" s="195"/>
      <c r="FMM94" s="195"/>
      <c r="FMN94" s="195"/>
      <c r="FMO94" s="195"/>
      <c r="FMP94" s="195"/>
      <c r="FMQ94" s="195"/>
      <c r="FMR94" s="195"/>
      <c r="FMS94" s="195"/>
      <c r="FMT94" s="195"/>
      <c r="FMU94" s="195"/>
      <c r="FMV94" s="195"/>
      <c r="FMW94" s="195"/>
      <c r="FMX94" s="195"/>
      <c r="FMY94" s="195"/>
      <c r="FMZ94" s="195"/>
      <c r="FNA94" s="195"/>
      <c r="FNB94" s="195"/>
      <c r="FNC94" s="195"/>
      <c r="FND94" s="195"/>
      <c r="FNE94" s="195"/>
      <c r="FNF94" s="195"/>
      <c r="FNG94" s="195"/>
      <c r="FNH94" s="195"/>
      <c r="FNI94" s="195"/>
      <c r="FNJ94" s="195"/>
      <c r="FNK94" s="195"/>
      <c r="FNL94" s="195"/>
      <c r="FNM94" s="195"/>
      <c r="FNN94" s="195"/>
      <c r="FNO94" s="195"/>
      <c r="FNP94" s="195"/>
      <c r="FNQ94" s="195"/>
      <c r="FNR94" s="195"/>
      <c r="FNS94" s="195"/>
      <c r="FNT94" s="195"/>
      <c r="FNU94" s="195"/>
      <c r="FNV94" s="195"/>
      <c r="FNW94" s="195"/>
      <c r="FNX94" s="195"/>
      <c r="FNY94" s="195"/>
      <c r="FNZ94" s="195"/>
      <c r="FOA94" s="195"/>
      <c r="FOB94" s="195"/>
      <c r="FOC94" s="195"/>
      <c r="FOD94" s="195"/>
      <c r="FOE94" s="195"/>
      <c r="FOF94" s="195"/>
      <c r="FOG94" s="195"/>
      <c r="FOH94" s="195"/>
      <c r="FOI94" s="195"/>
      <c r="FOJ94" s="195"/>
      <c r="FOK94" s="195"/>
      <c r="FOL94" s="195"/>
      <c r="FOM94" s="195"/>
      <c r="FON94" s="195"/>
      <c r="FOO94" s="195"/>
      <c r="FOP94" s="195"/>
      <c r="FOQ94" s="195"/>
      <c r="FOR94" s="195"/>
      <c r="FOS94" s="195"/>
      <c r="FOT94" s="195"/>
      <c r="FOU94" s="195"/>
      <c r="FOV94" s="195"/>
      <c r="FOW94" s="195"/>
      <c r="FOX94" s="195"/>
      <c r="FOY94" s="195"/>
      <c r="FOZ94" s="195"/>
      <c r="FPA94" s="195"/>
      <c r="FPB94" s="195"/>
      <c r="FPC94" s="195"/>
      <c r="FPD94" s="195"/>
      <c r="FPE94" s="195"/>
      <c r="FPF94" s="195"/>
      <c r="FPG94" s="195"/>
      <c r="FPH94" s="195"/>
      <c r="FPI94" s="195"/>
      <c r="FPJ94" s="195"/>
      <c r="FPK94" s="195"/>
      <c r="FPL94" s="195"/>
      <c r="FPM94" s="195"/>
      <c r="FPN94" s="195"/>
      <c r="FPO94" s="195"/>
      <c r="FPP94" s="195"/>
      <c r="FPQ94" s="195"/>
      <c r="FPR94" s="195"/>
      <c r="FPS94" s="195"/>
      <c r="FPT94" s="195"/>
      <c r="FPU94" s="195"/>
      <c r="FPV94" s="195"/>
      <c r="FPW94" s="195"/>
      <c r="FPX94" s="195"/>
      <c r="FPY94" s="195"/>
      <c r="FPZ94" s="195"/>
      <c r="FQA94" s="195"/>
      <c r="FQB94" s="195"/>
      <c r="FQC94" s="195"/>
      <c r="FQD94" s="195"/>
      <c r="FQE94" s="195"/>
      <c r="FQF94" s="195"/>
      <c r="FQG94" s="195"/>
      <c r="FQH94" s="195"/>
      <c r="FQI94" s="195"/>
      <c r="FQJ94" s="195"/>
      <c r="FQK94" s="195"/>
      <c r="FQL94" s="195"/>
      <c r="FQM94" s="195"/>
      <c r="FQN94" s="195"/>
      <c r="FQO94" s="195"/>
      <c r="FQP94" s="195"/>
      <c r="FQQ94" s="195"/>
      <c r="FQR94" s="195"/>
      <c r="FQS94" s="195"/>
      <c r="FQT94" s="195"/>
      <c r="FQU94" s="195"/>
      <c r="FQV94" s="195"/>
      <c r="FQW94" s="195"/>
      <c r="FQX94" s="195"/>
      <c r="FQY94" s="195"/>
      <c r="FQZ94" s="195"/>
      <c r="FRA94" s="195"/>
      <c r="FRB94" s="195"/>
      <c r="FRC94" s="195"/>
      <c r="FRD94" s="195"/>
      <c r="FRE94" s="195"/>
      <c r="FRF94" s="195"/>
      <c r="FRG94" s="195"/>
      <c r="FRH94" s="195"/>
      <c r="FRI94" s="195"/>
      <c r="FRJ94" s="195"/>
      <c r="FRK94" s="195"/>
      <c r="FRL94" s="195"/>
      <c r="FRM94" s="195"/>
      <c r="FRN94" s="195"/>
      <c r="FRO94" s="195"/>
      <c r="FRP94" s="195"/>
      <c r="FRQ94" s="195"/>
      <c r="FRR94" s="195"/>
      <c r="FRS94" s="195"/>
      <c r="FRT94" s="195"/>
      <c r="FRU94" s="195"/>
      <c r="FRV94" s="195"/>
      <c r="FRW94" s="195"/>
      <c r="FRX94" s="195"/>
      <c r="FRY94" s="195"/>
      <c r="FRZ94" s="195"/>
      <c r="FSA94" s="195"/>
      <c r="FSB94" s="195"/>
      <c r="FSC94" s="195"/>
      <c r="FSD94" s="195"/>
      <c r="FSE94" s="195"/>
      <c r="FSF94" s="195"/>
      <c r="FSG94" s="195"/>
      <c r="FSH94" s="195"/>
      <c r="FSI94" s="195"/>
      <c r="FSJ94" s="195"/>
      <c r="FSK94" s="195"/>
      <c r="FSL94" s="195"/>
      <c r="FSM94" s="195"/>
      <c r="FSN94" s="195"/>
      <c r="FSO94" s="195"/>
      <c r="FSP94" s="195"/>
      <c r="FSQ94" s="195"/>
      <c r="FSR94" s="195"/>
      <c r="FSS94" s="195"/>
      <c r="FST94" s="195"/>
      <c r="FSU94" s="195"/>
      <c r="FSV94" s="195"/>
      <c r="FSW94" s="195"/>
      <c r="FSX94" s="195"/>
      <c r="FSY94" s="195"/>
      <c r="FSZ94" s="195"/>
      <c r="FTA94" s="195"/>
      <c r="FTB94" s="195"/>
      <c r="FTC94" s="195"/>
      <c r="FTD94" s="195"/>
      <c r="FTE94" s="195"/>
      <c r="FTF94" s="195"/>
      <c r="FTG94" s="195"/>
      <c r="FTH94" s="195"/>
      <c r="FTI94" s="195"/>
      <c r="FTJ94" s="195"/>
      <c r="FTK94" s="195"/>
      <c r="FTL94" s="195"/>
      <c r="FTM94" s="195"/>
      <c r="FTN94" s="195"/>
      <c r="FTO94" s="195"/>
      <c r="FTP94" s="195"/>
      <c r="FTQ94" s="195"/>
      <c r="FTR94" s="195"/>
      <c r="FTS94" s="195"/>
      <c r="FTT94" s="195"/>
      <c r="FTU94" s="195"/>
      <c r="FTV94" s="195"/>
      <c r="FTW94" s="195"/>
      <c r="FTX94" s="195"/>
      <c r="FTY94" s="195"/>
      <c r="FTZ94" s="195"/>
      <c r="FUA94" s="195"/>
      <c r="FUB94" s="195"/>
      <c r="FUC94" s="195"/>
      <c r="FUD94" s="195"/>
      <c r="FUE94" s="195"/>
      <c r="FUF94" s="195"/>
      <c r="FUG94" s="195"/>
      <c r="FUH94" s="195"/>
      <c r="FUI94" s="195"/>
      <c r="FUJ94" s="195"/>
      <c r="FUK94" s="195"/>
      <c r="FUL94" s="195"/>
      <c r="FUM94" s="195"/>
      <c r="FUN94" s="195"/>
      <c r="FUO94" s="195"/>
      <c r="FUP94" s="195"/>
      <c r="FUQ94" s="195"/>
      <c r="FUR94" s="195"/>
      <c r="FUS94" s="195"/>
      <c r="FUT94" s="195"/>
      <c r="FUU94" s="195"/>
      <c r="FUV94" s="195"/>
      <c r="FUW94" s="195"/>
      <c r="FUX94" s="195"/>
      <c r="FUY94" s="195"/>
      <c r="FUZ94" s="195"/>
      <c r="FVA94" s="195"/>
      <c r="FVB94" s="195"/>
      <c r="FVC94" s="195"/>
      <c r="FVD94" s="195"/>
      <c r="FVE94" s="195"/>
      <c r="FVF94" s="195"/>
      <c r="FVG94" s="195"/>
      <c r="FVH94" s="195"/>
      <c r="FVI94" s="195"/>
      <c r="FVJ94" s="195"/>
      <c r="FVK94" s="195"/>
      <c r="FVL94" s="195"/>
      <c r="FVM94" s="195"/>
      <c r="FVN94" s="195"/>
      <c r="FVO94" s="195"/>
      <c r="FVP94" s="195"/>
      <c r="FVQ94" s="195"/>
      <c r="FVR94" s="195"/>
      <c r="FVS94" s="195"/>
      <c r="FVT94" s="195"/>
      <c r="FVU94" s="195"/>
      <c r="FVV94" s="195"/>
      <c r="FVW94" s="195"/>
      <c r="FVX94" s="195"/>
      <c r="FVY94" s="195"/>
      <c r="FVZ94" s="195"/>
      <c r="FWA94" s="195"/>
      <c r="FWB94" s="195"/>
      <c r="FWC94" s="195"/>
      <c r="FWD94" s="195"/>
      <c r="FWE94" s="195"/>
      <c r="FWF94" s="195"/>
      <c r="FWG94" s="195"/>
      <c r="FWH94" s="195"/>
      <c r="FWI94" s="195"/>
      <c r="FWJ94" s="195"/>
      <c r="FWK94" s="195"/>
      <c r="FWL94" s="195"/>
      <c r="FWM94" s="195"/>
      <c r="FWN94" s="195"/>
      <c r="FWO94" s="195"/>
      <c r="FWP94" s="195"/>
      <c r="FWQ94" s="195"/>
      <c r="FWR94" s="195"/>
      <c r="FWS94" s="195"/>
      <c r="FWT94" s="195"/>
      <c r="FWU94" s="195"/>
      <c r="FWV94" s="195"/>
      <c r="FWW94" s="195"/>
      <c r="FWX94" s="195"/>
      <c r="FWY94" s="195"/>
      <c r="FWZ94" s="195"/>
      <c r="FXA94" s="195"/>
      <c r="FXB94" s="195"/>
      <c r="FXC94" s="195"/>
      <c r="FXD94" s="195"/>
      <c r="FXE94" s="195"/>
      <c r="FXF94" s="195"/>
      <c r="FXG94" s="195"/>
      <c r="FXH94" s="195"/>
      <c r="FXI94" s="195"/>
      <c r="FXJ94" s="195"/>
      <c r="FXK94" s="195"/>
      <c r="FXL94" s="195"/>
      <c r="FXM94" s="195"/>
      <c r="FXN94" s="195"/>
      <c r="FXO94" s="195"/>
      <c r="FXP94" s="195"/>
      <c r="FXQ94" s="195"/>
      <c r="FXR94" s="195"/>
      <c r="FXS94" s="195"/>
      <c r="FXT94" s="195"/>
      <c r="FXU94" s="195"/>
      <c r="FXV94" s="195"/>
      <c r="FXW94" s="195"/>
      <c r="FXX94" s="195"/>
      <c r="FXY94" s="195"/>
      <c r="FXZ94" s="195"/>
      <c r="FYA94" s="195"/>
      <c r="FYB94" s="195"/>
      <c r="FYC94" s="195"/>
      <c r="FYD94" s="195"/>
      <c r="FYE94" s="195"/>
      <c r="FYF94" s="195"/>
      <c r="FYG94" s="195"/>
      <c r="FYH94" s="195"/>
      <c r="FYI94" s="195"/>
      <c r="FYJ94" s="195"/>
      <c r="FYK94" s="195"/>
      <c r="FYL94" s="195"/>
      <c r="FYM94" s="195"/>
      <c r="FYN94" s="195"/>
      <c r="FYO94" s="195"/>
      <c r="FYP94" s="195"/>
      <c r="FYQ94" s="195"/>
      <c r="FYR94" s="195"/>
      <c r="FYS94" s="195"/>
      <c r="FYT94" s="195"/>
      <c r="FYU94" s="195"/>
      <c r="FYV94" s="195"/>
      <c r="FYW94" s="195"/>
      <c r="FYX94" s="195"/>
      <c r="FYY94" s="195"/>
      <c r="FYZ94" s="195"/>
      <c r="FZA94" s="195"/>
      <c r="FZB94" s="195"/>
      <c r="FZC94" s="195"/>
      <c r="FZD94" s="195"/>
      <c r="FZE94" s="195"/>
      <c r="FZF94" s="195"/>
      <c r="FZG94" s="195"/>
      <c r="FZH94" s="195"/>
      <c r="FZI94" s="195"/>
      <c r="FZJ94" s="195"/>
      <c r="FZK94" s="195"/>
      <c r="FZL94" s="195"/>
      <c r="FZM94" s="195"/>
      <c r="FZN94" s="195"/>
      <c r="FZO94" s="195"/>
      <c r="FZP94" s="195"/>
      <c r="FZQ94" s="195"/>
      <c r="FZR94" s="195"/>
      <c r="FZS94" s="195"/>
      <c r="FZT94" s="195"/>
      <c r="FZU94" s="195"/>
      <c r="FZV94" s="195"/>
      <c r="FZW94" s="195"/>
      <c r="FZX94" s="195"/>
      <c r="FZY94" s="195"/>
      <c r="FZZ94" s="195"/>
      <c r="GAA94" s="195"/>
      <c r="GAB94" s="195"/>
      <c r="GAC94" s="195"/>
      <c r="GAD94" s="195"/>
      <c r="GAE94" s="195"/>
      <c r="GAF94" s="195"/>
      <c r="GAG94" s="195"/>
      <c r="GAH94" s="195"/>
      <c r="GAI94" s="195"/>
      <c r="GAJ94" s="195"/>
      <c r="GAK94" s="195"/>
      <c r="GAL94" s="195"/>
      <c r="GAM94" s="195"/>
      <c r="GAN94" s="195"/>
      <c r="GAO94" s="195"/>
      <c r="GAP94" s="195"/>
      <c r="GAQ94" s="195"/>
      <c r="GAR94" s="195"/>
      <c r="GAS94" s="195"/>
      <c r="GAT94" s="195"/>
      <c r="GAU94" s="195"/>
      <c r="GAV94" s="195"/>
      <c r="GAW94" s="195"/>
      <c r="GAX94" s="195"/>
      <c r="GAY94" s="195"/>
      <c r="GAZ94" s="195"/>
      <c r="GBA94" s="195"/>
      <c r="GBB94" s="195"/>
      <c r="GBC94" s="195"/>
      <c r="GBD94" s="195"/>
      <c r="GBE94" s="195"/>
      <c r="GBF94" s="195"/>
      <c r="GBG94" s="195"/>
      <c r="GBH94" s="195"/>
      <c r="GBI94" s="195"/>
      <c r="GBJ94" s="195"/>
      <c r="GBK94" s="195"/>
      <c r="GBL94" s="195"/>
      <c r="GBM94" s="195"/>
      <c r="GBN94" s="195"/>
      <c r="GBO94" s="195"/>
      <c r="GBP94" s="195"/>
      <c r="GBQ94" s="195"/>
      <c r="GBR94" s="195"/>
      <c r="GBS94" s="195"/>
      <c r="GBT94" s="195"/>
      <c r="GBU94" s="195"/>
      <c r="GBV94" s="195"/>
      <c r="GBW94" s="195"/>
      <c r="GBX94" s="195"/>
      <c r="GBY94" s="195"/>
      <c r="GBZ94" s="195"/>
      <c r="GCA94" s="195"/>
      <c r="GCB94" s="195"/>
      <c r="GCC94" s="195"/>
      <c r="GCD94" s="195"/>
      <c r="GCE94" s="195"/>
      <c r="GCF94" s="195"/>
      <c r="GCG94" s="195"/>
      <c r="GCH94" s="195"/>
      <c r="GCI94" s="195"/>
      <c r="GCJ94" s="195"/>
      <c r="GCK94" s="195"/>
      <c r="GCL94" s="195"/>
      <c r="GCM94" s="195"/>
      <c r="GCN94" s="195"/>
      <c r="GCO94" s="195"/>
      <c r="GCP94" s="195"/>
      <c r="GCQ94" s="195"/>
      <c r="GCR94" s="195"/>
      <c r="GCS94" s="195"/>
      <c r="GCT94" s="195"/>
      <c r="GCU94" s="195"/>
      <c r="GCV94" s="195"/>
      <c r="GCW94" s="195"/>
      <c r="GCX94" s="195"/>
      <c r="GCY94" s="195"/>
      <c r="GCZ94" s="195"/>
      <c r="GDA94" s="195"/>
      <c r="GDB94" s="195"/>
      <c r="GDC94" s="195"/>
      <c r="GDD94" s="195"/>
      <c r="GDE94" s="195"/>
      <c r="GDF94" s="195"/>
      <c r="GDG94" s="195"/>
      <c r="GDH94" s="195"/>
      <c r="GDI94" s="195"/>
      <c r="GDJ94" s="195"/>
      <c r="GDK94" s="195"/>
      <c r="GDL94" s="195"/>
      <c r="GDM94" s="195"/>
      <c r="GDN94" s="195"/>
      <c r="GDO94" s="195"/>
      <c r="GDP94" s="195"/>
      <c r="GDQ94" s="195"/>
      <c r="GDR94" s="195"/>
      <c r="GDS94" s="195"/>
      <c r="GDT94" s="195"/>
      <c r="GDU94" s="195"/>
      <c r="GDV94" s="195"/>
      <c r="GDW94" s="195"/>
      <c r="GDX94" s="195"/>
      <c r="GDY94" s="195"/>
      <c r="GDZ94" s="195"/>
      <c r="GEA94" s="195"/>
      <c r="GEB94" s="195"/>
      <c r="GEC94" s="195"/>
      <c r="GED94" s="195"/>
      <c r="GEE94" s="195"/>
      <c r="GEF94" s="195"/>
      <c r="GEG94" s="195"/>
      <c r="GEH94" s="195"/>
      <c r="GEI94" s="195"/>
      <c r="GEJ94" s="195"/>
      <c r="GEK94" s="195"/>
      <c r="GEL94" s="195"/>
      <c r="GEM94" s="195"/>
      <c r="GEN94" s="195"/>
      <c r="GEO94" s="195"/>
      <c r="GEP94" s="195"/>
      <c r="GEQ94" s="195"/>
      <c r="GER94" s="195"/>
      <c r="GES94" s="195"/>
      <c r="GET94" s="195"/>
      <c r="GEU94" s="195"/>
      <c r="GEV94" s="195"/>
      <c r="GEW94" s="195"/>
      <c r="GEX94" s="195"/>
      <c r="GEY94" s="195"/>
      <c r="GEZ94" s="195"/>
      <c r="GFA94" s="195"/>
      <c r="GFB94" s="195"/>
      <c r="GFC94" s="195"/>
      <c r="GFD94" s="195"/>
      <c r="GFE94" s="195"/>
      <c r="GFF94" s="195"/>
      <c r="GFG94" s="195"/>
      <c r="GFH94" s="195"/>
      <c r="GFI94" s="195"/>
      <c r="GFJ94" s="195"/>
      <c r="GFK94" s="195"/>
      <c r="GFL94" s="195"/>
      <c r="GFM94" s="195"/>
      <c r="GFN94" s="195"/>
      <c r="GFO94" s="195"/>
      <c r="GFP94" s="195"/>
      <c r="GFQ94" s="195"/>
      <c r="GFR94" s="195"/>
      <c r="GFS94" s="195"/>
      <c r="GFT94" s="195"/>
      <c r="GFU94" s="195"/>
      <c r="GFV94" s="195"/>
      <c r="GFW94" s="195"/>
      <c r="GFX94" s="195"/>
      <c r="GFY94" s="195"/>
      <c r="GFZ94" s="195"/>
      <c r="GGA94" s="195"/>
      <c r="GGB94" s="195"/>
      <c r="GGC94" s="195"/>
      <c r="GGD94" s="195"/>
      <c r="GGE94" s="195"/>
      <c r="GGF94" s="195"/>
      <c r="GGG94" s="195"/>
      <c r="GGH94" s="195"/>
      <c r="GGI94" s="195"/>
      <c r="GGJ94" s="195"/>
      <c r="GGK94" s="195"/>
      <c r="GGL94" s="195"/>
      <c r="GGM94" s="195"/>
      <c r="GGN94" s="195"/>
      <c r="GGO94" s="195"/>
      <c r="GGP94" s="195"/>
      <c r="GGQ94" s="195"/>
      <c r="GGR94" s="195"/>
      <c r="GGS94" s="195"/>
      <c r="GGT94" s="195"/>
      <c r="GGU94" s="195"/>
      <c r="GGV94" s="195"/>
      <c r="GGW94" s="195"/>
      <c r="GGX94" s="195"/>
      <c r="GGY94" s="195"/>
      <c r="GGZ94" s="195"/>
      <c r="GHA94" s="195"/>
      <c r="GHB94" s="195"/>
      <c r="GHC94" s="195"/>
      <c r="GHD94" s="195"/>
      <c r="GHE94" s="195"/>
      <c r="GHF94" s="195"/>
      <c r="GHG94" s="195"/>
      <c r="GHH94" s="195"/>
      <c r="GHI94" s="195"/>
      <c r="GHJ94" s="195"/>
      <c r="GHK94" s="195"/>
      <c r="GHL94" s="195"/>
      <c r="GHM94" s="195"/>
      <c r="GHN94" s="195"/>
      <c r="GHO94" s="195"/>
      <c r="GHP94" s="195"/>
      <c r="GHQ94" s="195"/>
      <c r="GHR94" s="195"/>
      <c r="GHS94" s="195"/>
      <c r="GHT94" s="195"/>
      <c r="GHU94" s="195"/>
      <c r="GHV94" s="195"/>
      <c r="GHW94" s="195"/>
      <c r="GHX94" s="195"/>
      <c r="GHY94" s="195"/>
      <c r="GHZ94" s="195"/>
      <c r="GIA94" s="195"/>
      <c r="GIB94" s="195"/>
      <c r="GIC94" s="195"/>
      <c r="GID94" s="195"/>
      <c r="GIE94" s="195"/>
      <c r="GIF94" s="195"/>
      <c r="GIG94" s="195"/>
      <c r="GIH94" s="195"/>
      <c r="GII94" s="195"/>
      <c r="GIJ94" s="195"/>
      <c r="GIK94" s="195"/>
      <c r="GIL94" s="195"/>
      <c r="GIM94" s="195"/>
      <c r="GIN94" s="195"/>
      <c r="GIO94" s="195"/>
      <c r="GIP94" s="195"/>
      <c r="GIQ94" s="195"/>
      <c r="GIR94" s="195"/>
      <c r="GIS94" s="195"/>
      <c r="GIT94" s="195"/>
      <c r="GIU94" s="195"/>
      <c r="GIV94" s="195"/>
      <c r="GIW94" s="195"/>
      <c r="GIX94" s="195"/>
      <c r="GIY94" s="195"/>
      <c r="GIZ94" s="195"/>
      <c r="GJA94" s="195"/>
      <c r="GJB94" s="195"/>
      <c r="GJC94" s="195"/>
      <c r="GJD94" s="195"/>
      <c r="GJE94" s="195"/>
      <c r="GJF94" s="195"/>
      <c r="GJG94" s="195"/>
      <c r="GJH94" s="195"/>
      <c r="GJI94" s="195"/>
      <c r="GJJ94" s="195"/>
      <c r="GJK94" s="195"/>
      <c r="GJL94" s="195"/>
      <c r="GJM94" s="195"/>
      <c r="GJN94" s="195"/>
      <c r="GJO94" s="195"/>
      <c r="GJP94" s="195"/>
      <c r="GJQ94" s="195"/>
      <c r="GJR94" s="195"/>
      <c r="GJS94" s="195"/>
      <c r="GJT94" s="195"/>
      <c r="GJU94" s="195"/>
      <c r="GJV94" s="195"/>
      <c r="GJW94" s="195"/>
      <c r="GJX94" s="195"/>
      <c r="GJY94" s="195"/>
      <c r="GJZ94" s="195"/>
      <c r="GKA94" s="195"/>
      <c r="GKB94" s="195"/>
      <c r="GKC94" s="195"/>
      <c r="GKD94" s="195"/>
      <c r="GKE94" s="195"/>
      <c r="GKF94" s="195"/>
      <c r="GKG94" s="195"/>
      <c r="GKH94" s="195"/>
      <c r="GKI94" s="195"/>
      <c r="GKJ94" s="195"/>
      <c r="GKK94" s="195"/>
      <c r="GKL94" s="195"/>
      <c r="GKM94" s="195"/>
      <c r="GKN94" s="195"/>
      <c r="GKO94" s="195"/>
      <c r="GKP94" s="195"/>
      <c r="GKQ94" s="195"/>
      <c r="GKR94" s="195"/>
      <c r="GKS94" s="195"/>
      <c r="GKT94" s="195"/>
      <c r="GKU94" s="195"/>
      <c r="GKV94" s="195"/>
      <c r="GKW94" s="195"/>
      <c r="GKX94" s="195"/>
      <c r="GKY94" s="195"/>
      <c r="GKZ94" s="195"/>
      <c r="GLA94" s="195"/>
      <c r="GLB94" s="195"/>
      <c r="GLC94" s="195"/>
      <c r="GLD94" s="195"/>
      <c r="GLE94" s="195"/>
      <c r="GLF94" s="195"/>
      <c r="GLG94" s="195"/>
      <c r="GLH94" s="195"/>
      <c r="GLI94" s="195"/>
      <c r="GLJ94" s="195"/>
      <c r="GLK94" s="195"/>
      <c r="GLL94" s="195"/>
      <c r="GLM94" s="195"/>
      <c r="GLN94" s="195"/>
      <c r="GLO94" s="195"/>
      <c r="GLP94" s="195"/>
      <c r="GLQ94" s="195"/>
      <c r="GLR94" s="195"/>
      <c r="GLS94" s="195"/>
      <c r="GLT94" s="195"/>
      <c r="GLU94" s="195"/>
      <c r="GLV94" s="195"/>
      <c r="GLW94" s="195"/>
      <c r="GLX94" s="195"/>
      <c r="GLY94" s="195"/>
      <c r="GLZ94" s="195"/>
      <c r="GMA94" s="195"/>
      <c r="GMB94" s="195"/>
      <c r="GMC94" s="195"/>
      <c r="GMD94" s="195"/>
      <c r="GME94" s="195"/>
      <c r="GMF94" s="195"/>
      <c r="GMG94" s="195"/>
      <c r="GMH94" s="195"/>
      <c r="GMI94" s="195"/>
      <c r="GMJ94" s="195"/>
      <c r="GMK94" s="195"/>
      <c r="GML94" s="195"/>
      <c r="GMM94" s="195"/>
      <c r="GMN94" s="195"/>
      <c r="GMO94" s="195"/>
      <c r="GMP94" s="195"/>
      <c r="GMQ94" s="195"/>
      <c r="GMR94" s="195"/>
      <c r="GMS94" s="195"/>
      <c r="GMT94" s="195"/>
      <c r="GMU94" s="195"/>
      <c r="GMV94" s="195"/>
      <c r="GMW94" s="195"/>
      <c r="GMX94" s="195"/>
      <c r="GMY94" s="195"/>
      <c r="GMZ94" s="195"/>
      <c r="GNA94" s="195"/>
      <c r="GNB94" s="195"/>
      <c r="GNC94" s="195"/>
      <c r="GND94" s="195"/>
      <c r="GNE94" s="195"/>
      <c r="GNF94" s="195"/>
      <c r="GNG94" s="195"/>
      <c r="GNH94" s="195"/>
      <c r="GNI94" s="195"/>
      <c r="GNJ94" s="195"/>
      <c r="GNK94" s="195"/>
      <c r="GNL94" s="195"/>
      <c r="GNM94" s="195"/>
      <c r="GNN94" s="195"/>
      <c r="GNO94" s="195"/>
      <c r="GNP94" s="195"/>
      <c r="GNQ94" s="195"/>
      <c r="GNR94" s="195"/>
      <c r="GNS94" s="195"/>
      <c r="GNT94" s="195"/>
      <c r="GNU94" s="195"/>
      <c r="GNV94" s="195"/>
      <c r="GNW94" s="195"/>
      <c r="GNX94" s="195"/>
      <c r="GNY94" s="195"/>
      <c r="GNZ94" s="195"/>
      <c r="GOA94" s="195"/>
      <c r="GOB94" s="195"/>
      <c r="GOC94" s="195"/>
      <c r="GOD94" s="195"/>
      <c r="GOE94" s="195"/>
      <c r="GOF94" s="195"/>
      <c r="GOG94" s="195"/>
      <c r="GOH94" s="195"/>
      <c r="GOI94" s="195"/>
      <c r="GOJ94" s="195"/>
      <c r="GOK94" s="195"/>
      <c r="GOL94" s="195"/>
      <c r="GOM94" s="195"/>
      <c r="GON94" s="195"/>
      <c r="GOO94" s="195"/>
      <c r="GOP94" s="195"/>
      <c r="GOQ94" s="195"/>
      <c r="GOR94" s="195"/>
      <c r="GOS94" s="195"/>
      <c r="GOT94" s="195"/>
      <c r="GOU94" s="195"/>
      <c r="GOV94" s="195"/>
      <c r="GOW94" s="195"/>
      <c r="GOX94" s="195"/>
      <c r="GOY94" s="195"/>
      <c r="GOZ94" s="195"/>
      <c r="GPA94" s="195"/>
      <c r="GPB94" s="195"/>
      <c r="GPC94" s="195"/>
      <c r="GPD94" s="195"/>
      <c r="GPE94" s="195"/>
      <c r="GPF94" s="195"/>
      <c r="GPG94" s="195"/>
      <c r="GPH94" s="195"/>
      <c r="GPI94" s="195"/>
      <c r="GPJ94" s="195"/>
      <c r="GPK94" s="195"/>
      <c r="GPL94" s="195"/>
      <c r="GPM94" s="195"/>
      <c r="GPN94" s="195"/>
      <c r="GPO94" s="195"/>
      <c r="GPP94" s="195"/>
      <c r="GPQ94" s="195"/>
      <c r="GPR94" s="195"/>
      <c r="GPS94" s="195"/>
      <c r="GPT94" s="195"/>
      <c r="GPU94" s="195"/>
      <c r="GPV94" s="195"/>
      <c r="GPW94" s="195"/>
      <c r="GPX94" s="195"/>
      <c r="GPY94" s="195"/>
      <c r="GPZ94" s="195"/>
      <c r="GQA94" s="195"/>
      <c r="GQB94" s="195"/>
      <c r="GQC94" s="195"/>
      <c r="GQD94" s="195"/>
      <c r="GQE94" s="195"/>
      <c r="GQF94" s="195"/>
      <c r="GQG94" s="195"/>
      <c r="GQH94" s="195"/>
      <c r="GQI94" s="195"/>
      <c r="GQJ94" s="195"/>
      <c r="GQK94" s="195"/>
      <c r="GQL94" s="195"/>
      <c r="GQM94" s="195"/>
      <c r="GQN94" s="195"/>
      <c r="GQO94" s="195"/>
      <c r="GQP94" s="195"/>
      <c r="GQQ94" s="195"/>
      <c r="GQR94" s="195"/>
      <c r="GQS94" s="195"/>
      <c r="GQT94" s="195"/>
      <c r="GQU94" s="195"/>
      <c r="GQV94" s="195"/>
      <c r="GQW94" s="195"/>
      <c r="GQX94" s="195"/>
      <c r="GQY94" s="195"/>
      <c r="GQZ94" s="195"/>
      <c r="GRA94" s="195"/>
      <c r="GRB94" s="195"/>
      <c r="GRC94" s="195"/>
      <c r="GRD94" s="195"/>
      <c r="GRE94" s="195"/>
      <c r="GRF94" s="195"/>
      <c r="GRG94" s="195"/>
      <c r="GRH94" s="195"/>
      <c r="GRI94" s="195"/>
      <c r="GRJ94" s="195"/>
      <c r="GRK94" s="195"/>
      <c r="GRL94" s="195"/>
      <c r="GRM94" s="195"/>
      <c r="GRN94" s="195"/>
      <c r="GRO94" s="195"/>
      <c r="GRP94" s="195"/>
      <c r="GRQ94" s="195"/>
      <c r="GRR94" s="195"/>
      <c r="GRS94" s="195"/>
      <c r="GRT94" s="195"/>
      <c r="GRU94" s="195"/>
      <c r="GRV94" s="195"/>
      <c r="GRW94" s="195"/>
      <c r="GRX94" s="195"/>
      <c r="GRY94" s="195"/>
      <c r="GRZ94" s="195"/>
      <c r="GSA94" s="195"/>
      <c r="GSB94" s="195"/>
      <c r="GSC94" s="195"/>
      <c r="GSD94" s="195"/>
      <c r="GSE94" s="195"/>
      <c r="GSF94" s="195"/>
      <c r="GSG94" s="195"/>
      <c r="GSH94" s="195"/>
      <c r="GSI94" s="195"/>
      <c r="GSJ94" s="195"/>
      <c r="GSK94" s="195"/>
      <c r="GSL94" s="195"/>
      <c r="GSM94" s="195"/>
      <c r="GSN94" s="195"/>
      <c r="GSO94" s="195"/>
      <c r="GSP94" s="195"/>
      <c r="GSQ94" s="195"/>
      <c r="GSR94" s="195"/>
      <c r="GSS94" s="195"/>
      <c r="GST94" s="195"/>
      <c r="GSU94" s="195"/>
      <c r="GSV94" s="195"/>
      <c r="GSW94" s="195"/>
      <c r="GSX94" s="195"/>
      <c r="GSY94" s="195"/>
      <c r="GSZ94" s="195"/>
      <c r="GTA94" s="195"/>
      <c r="GTB94" s="195"/>
      <c r="GTC94" s="195"/>
      <c r="GTD94" s="195"/>
      <c r="GTE94" s="195"/>
      <c r="GTF94" s="195"/>
      <c r="GTG94" s="195"/>
      <c r="GTH94" s="195"/>
      <c r="GTI94" s="195"/>
      <c r="GTJ94" s="195"/>
      <c r="GTK94" s="195"/>
      <c r="GTL94" s="195"/>
      <c r="GTM94" s="195"/>
      <c r="GTN94" s="195"/>
      <c r="GTO94" s="195"/>
      <c r="GTP94" s="195"/>
      <c r="GTQ94" s="195"/>
      <c r="GTR94" s="195"/>
      <c r="GTS94" s="195"/>
      <c r="GTT94" s="195"/>
      <c r="GTU94" s="195"/>
      <c r="GTV94" s="195"/>
      <c r="GTW94" s="195"/>
      <c r="GTX94" s="195"/>
      <c r="GTY94" s="195"/>
      <c r="GTZ94" s="195"/>
      <c r="GUA94" s="195"/>
      <c r="GUB94" s="195"/>
      <c r="GUC94" s="195"/>
      <c r="GUD94" s="195"/>
      <c r="GUE94" s="195"/>
      <c r="GUF94" s="195"/>
      <c r="GUG94" s="195"/>
      <c r="GUH94" s="195"/>
      <c r="GUI94" s="195"/>
      <c r="GUJ94" s="195"/>
      <c r="GUK94" s="195"/>
      <c r="GUL94" s="195"/>
      <c r="GUM94" s="195"/>
      <c r="GUN94" s="195"/>
      <c r="GUO94" s="195"/>
      <c r="GUP94" s="195"/>
      <c r="GUQ94" s="195"/>
      <c r="GUR94" s="195"/>
      <c r="GUS94" s="195"/>
      <c r="GUT94" s="195"/>
      <c r="GUU94" s="195"/>
      <c r="GUV94" s="195"/>
      <c r="GUW94" s="195"/>
      <c r="GUX94" s="195"/>
      <c r="GUY94" s="195"/>
      <c r="GUZ94" s="195"/>
      <c r="GVA94" s="195"/>
      <c r="GVB94" s="195"/>
      <c r="GVC94" s="195"/>
      <c r="GVD94" s="195"/>
      <c r="GVE94" s="195"/>
      <c r="GVF94" s="195"/>
      <c r="GVG94" s="195"/>
      <c r="GVH94" s="195"/>
      <c r="GVI94" s="195"/>
      <c r="GVJ94" s="195"/>
      <c r="GVK94" s="195"/>
      <c r="GVL94" s="195"/>
      <c r="GVM94" s="195"/>
      <c r="GVN94" s="195"/>
      <c r="GVO94" s="195"/>
      <c r="GVP94" s="195"/>
      <c r="GVQ94" s="195"/>
      <c r="GVR94" s="195"/>
      <c r="GVS94" s="195"/>
      <c r="GVT94" s="195"/>
      <c r="GVU94" s="195"/>
      <c r="GVV94" s="195"/>
      <c r="GVW94" s="195"/>
      <c r="GVX94" s="195"/>
      <c r="GVY94" s="195"/>
      <c r="GVZ94" s="195"/>
      <c r="GWA94" s="195"/>
      <c r="GWB94" s="195"/>
      <c r="GWC94" s="195"/>
      <c r="GWD94" s="195"/>
      <c r="GWE94" s="195"/>
      <c r="GWF94" s="195"/>
      <c r="GWG94" s="195"/>
      <c r="GWH94" s="195"/>
      <c r="GWI94" s="195"/>
      <c r="GWJ94" s="195"/>
      <c r="GWK94" s="195"/>
      <c r="GWL94" s="195"/>
      <c r="GWM94" s="195"/>
      <c r="GWN94" s="195"/>
      <c r="GWO94" s="195"/>
      <c r="GWP94" s="195"/>
      <c r="GWQ94" s="195"/>
      <c r="GWR94" s="195"/>
      <c r="GWS94" s="195"/>
      <c r="GWT94" s="195"/>
      <c r="GWU94" s="195"/>
      <c r="GWV94" s="195"/>
      <c r="GWW94" s="195"/>
      <c r="GWX94" s="195"/>
      <c r="GWY94" s="195"/>
      <c r="GWZ94" s="195"/>
      <c r="GXA94" s="195"/>
      <c r="GXB94" s="195"/>
      <c r="GXC94" s="195"/>
      <c r="GXD94" s="195"/>
      <c r="GXE94" s="195"/>
      <c r="GXF94" s="195"/>
      <c r="GXG94" s="195"/>
      <c r="GXH94" s="195"/>
      <c r="GXI94" s="195"/>
      <c r="GXJ94" s="195"/>
      <c r="GXK94" s="195"/>
      <c r="GXL94" s="195"/>
      <c r="GXM94" s="195"/>
      <c r="GXN94" s="195"/>
      <c r="GXO94" s="195"/>
      <c r="GXP94" s="195"/>
      <c r="GXQ94" s="195"/>
      <c r="GXR94" s="195"/>
      <c r="GXS94" s="195"/>
      <c r="GXT94" s="195"/>
      <c r="GXU94" s="195"/>
      <c r="GXV94" s="195"/>
      <c r="GXW94" s="195"/>
      <c r="GXX94" s="195"/>
      <c r="GXY94" s="195"/>
      <c r="GXZ94" s="195"/>
      <c r="GYA94" s="195"/>
      <c r="GYB94" s="195"/>
      <c r="GYC94" s="195"/>
      <c r="GYD94" s="195"/>
      <c r="GYE94" s="195"/>
      <c r="GYF94" s="195"/>
      <c r="GYG94" s="195"/>
      <c r="GYH94" s="195"/>
      <c r="GYI94" s="195"/>
      <c r="GYJ94" s="195"/>
      <c r="GYK94" s="195"/>
      <c r="GYL94" s="195"/>
      <c r="GYM94" s="195"/>
      <c r="GYN94" s="195"/>
      <c r="GYO94" s="195"/>
      <c r="GYP94" s="195"/>
      <c r="GYQ94" s="195"/>
      <c r="GYR94" s="195"/>
      <c r="GYS94" s="195"/>
      <c r="GYT94" s="195"/>
      <c r="GYU94" s="195"/>
      <c r="GYV94" s="195"/>
      <c r="GYW94" s="195"/>
      <c r="GYX94" s="195"/>
      <c r="GYY94" s="195"/>
      <c r="GYZ94" s="195"/>
      <c r="GZA94" s="195"/>
      <c r="GZB94" s="195"/>
      <c r="GZC94" s="195"/>
      <c r="GZD94" s="195"/>
      <c r="GZE94" s="195"/>
      <c r="GZF94" s="195"/>
      <c r="GZG94" s="195"/>
      <c r="GZH94" s="195"/>
      <c r="GZI94" s="195"/>
      <c r="GZJ94" s="195"/>
      <c r="GZK94" s="195"/>
      <c r="GZL94" s="195"/>
      <c r="GZM94" s="195"/>
      <c r="GZN94" s="195"/>
      <c r="GZO94" s="195"/>
      <c r="GZP94" s="195"/>
      <c r="GZQ94" s="195"/>
      <c r="GZR94" s="195"/>
      <c r="GZS94" s="195"/>
      <c r="GZT94" s="195"/>
      <c r="GZU94" s="195"/>
      <c r="GZV94" s="195"/>
      <c r="GZW94" s="195"/>
      <c r="GZX94" s="195"/>
      <c r="GZY94" s="195"/>
      <c r="GZZ94" s="195"/>
      <c r="HAA94" s="195"/>
      <c r="HAB94" s="195"/>
      <c r="HAC94" s="195"/>
      <c r="HAD94" s="195"/>
      <c r="HAE94" s="195"/>
      <c r="HAF94" s="195"/>
      <c r="HAG94" s="195"/>
      <c r="HAH94" s="195"/>
      <c r="HAI94" s="195"/>
      <c r="HAJ94" s="195"/>
      <c r="HAK94" s="195"/>
      <c r="HAL94" s="195"/>
      <c r="HAM94" s="195"/>
      <c r="HAN94" s="195"/>
      <c r="HAO94" s="195"/>
      <c r="HAP94" s="195"/>
      <c r="HAQ94" s="195"/>
      <c r="HAR94" s="195"/>
      <c r="HAS94" s="195"/>
      <c r="HAT94" s="195"/>
      <c r="HAU94" s="195"/>
      <c r="HAV94" s="195"/>
      <c r="HAW94" s="195"/>
      <c r="HAX94" s="195"/>
      <c r="HAY94" s="195"/>
      <c r="HAZ94" s="195"/>
      <c r="HBA94" s="195"/>
      <c r="HBB94" s="195"/>
      <c r="HBC94" s="195"/>
      <c r="HBD94" s="195"/>
      <c r="HBE94" s="195"/>
      <c r="HBF94" s="195"/>
      <c r="HBG94" s="195"/>
      <c r="HBH94" s="195"/>
      <c r="HBI94" s="195"/>
      <c r="HBJ94" s="195"/>
      <c r="HBK94" s="195"/>
      <c r="HBL94" s="195"/>
      <c r="HBM94" s="195"/>
      <c r="HBN94" s="195"/>
      <c r="HBO94" s="195"/>
      <c r="HBP94" s="195"/>
      <c r="HBQ94" s="195"/>
      <c r="HBR94" s="195"/>
      <c r="HBS94" s="195"/>
      <c r="HBT94" s="195"/>
      <c r="HBU94" s="195"/>
      <c r="HBV94" s="195"/>
      <c r="HBW94" s="195"/>
      <c r="HBX94" s="195"/>
      <c r="HBY94" s="195"/>
      <c r="HBZ94" s="195"/>
      <c r="HCA94" s="195"/>
      <c r="HCB94" s="195"/>
      <c r="HCC94" s="195"/>
      <c r="HCD94" s="195"/>
      <c r="HCE94" s="195"/>
      <c r="HCF94" s="195"/>
      <c r="HCG94" s="195"/>
      <c r="HCH94" s="195"/>
      <c r="HCI94" s="195"/>
      <c r="HCJ94" s="195"/>
      <c r="HCK94" s="195"/>
      <c r="HCL94" s="195"/>
      <c r="HCM94" s="195"/>
      <c r="HCN94" s="195"/>
      <c r="HCO94" s="195"/>
      <c r="HCP94" s="195"/>
      <c r="HCQ94" s="195"/>
      <c r="HCR94" s="195"/>
      <c r="HCS94" s="195"/>
      <c r="HCT94" s="195"/>
      <c r="HCU94" s="195"/>
      <c r="HCV94" s="195"/>
      <c r="HCW94" s="195"/>
      <c r="HCX94" s="195"/>
      <c r="HCY94" s="195"/>
      <c r="HCZ94" s="195"/>
      <c r="HDA94" s="195"/>
      <c r="HDB94" s="195"/>
      <c r="HDC94" s="195"/>
      <c r="HDD94" s="195"/>
      <c r="HDE94" s="195"/>
      <c r="HDF94" s="195"/>
      <c r="HDG94" s="195"/>
      <c r="HDH94" s="195"/>
      <c r="HDI94" s="195"/>
      <c r="HDJ94" s="195"/>
      <c r="HDK94" s="195"/>
      <c r="HDL94" s="195"/>
      <c r="HDM94" s="195"/>
      <c r="HDN94" s="195"/>
      <c r="HDO94" s="195"/>
      <c r="HDP94" s="195"/>
      <c r="HDQ94" s="195"/>
      <c r="HDR94" s="195"/>
      <c r="HDS94" s="195"/>
      <c r="HDT94" s="195"/>
      <c r="HDU94" s="195"/>
      <c r="HDV94" s="195"/>
      <c r="HDW94" s="195"/>
      <c r="HDX94" s="195"/>
      <c r="HDY94" s="195"/>
      <c r="HDZ94" s="195"/>
      <c r="HEA94" s="195"/>
      <c r="HEB94" s="195"/>
      <c r="HEC94" s="195"/>
      <c r="HED94" s="195"/>
      <c r="HEE94" s="195"/>
      <c r="HEF94" s="195"/>
      <c r="HEG94" s="195"/>
      <c r="HEH94" s="195"/>
      <c r="HEI94" s="195"/>
      <c r="HEJ94" s="195"/>
      <c r="HEK94" s="195"/>
      <c r="HEL94" s="195"/>
      <c r="HEM94" s="195"/>
      <c r="HEN94" s="195"/>
      <c r="HEO94" s="195"/>
      <c r="HEP94" s="195"/>
      <c r="HEQ94" s="195"/>
      <c r="HER94" s="195"/>
      <c r="HES94" s="195"/>
      <c r="HET94" s="195"/>
      <c r="HEU94" s="195"/>
      <c r="HEV94" s="195"/>
      <c r="HEW94" s="195"/>
      <c r="HEX94" s="195"/>
      <c r="HEY94" s="195"/>
      <c r="HEZ94" s="195"/>
      <c r="HFA94" s="195"/>
      <c r="HFB94" s="195"/>
      <c r="HFC94" s="195"/>
      <c r="HFD94" s="195"/>
      <c r="HFE94" s="195"/>
      <c r="HFF94" s="195"/>
      <c r="HFG94" s="195"/>
      <c r="HFH94" s="195"/>
      <c r="HFI94" s="195"/>
      <c r="HFJ94" s="195"/>
      <c r="HFK94" s="195"/>
      <c r="HFL94" s="195"/>
      <c r="HFM94" s="195"/>
      <c r="HFN94" s="195"/>
      <c r="HFO94" s="195"/>
      <c r="HFP94" s="195"/>
      <c r="HFQ94" s="195"/>
      <c r="HFR94" s="195"/>
      <c r="HFS94" s="195"/>
      <c r="HFT94" s="195"/>
      <c r="HFU94" s="195"/>
      <c r="HFV94" s="195"/>
      <c r="HFW94" s="195"/>
      <c r="HFX94" s="195"/>
      <c r="HFY94" s="195"/>
      <c r="HFZ94" s="195"/>
      <c r="HGA94" s="195"/>
      <c r="HGB94" s="195"/>
      <c r="HGC94" s="195"/>
      <c r="HGD94" s="195"/>
      <c r="HGE94" s="195"/>
      <c r="HGF94" s="195"/>
      <c r="HGG94" s="195"/>
      <c r="HGH94" s="195"/>
      <c r="HGI94" s="195"/>
      <c r="HGJ94" s="195"/>
      <c r="HGK94" s="195"/>
      <c r="HGL94" s="195"/>
      <c r="HGM94" s="195"/>
      <c r="HGN94" s="195"/>
      <c r="HGO94" s="195"/>
      <c r="HGP94" s="195"/>
      <c r="HGQ94" s="195"/>
      <c r="HGR94" s="195"/>
      <c r="HGS94" s="195"/>
      <c r="HGT94" s="195"/>
      <c r="HGU94" s="195"/>
      <c r="HGV94" s="195"/>
      <c r="HGW94" s="195"/>
      <c r="HGX94" s="195"/>
      <c r="HGY94" s="195"/>
      <c r="HGZ94" s="195"/>
      <c r="HHA94" s="195"/>
      <c r="HHB94" s="195"/>
      <c r="HHC94" s="195"/>
      <c r="HHD94" s="195"/>
      <c r="HHE94" s="195"/>
      <c r="HHF94" s="195"/>
      <c r="HHG94" s="195"/>
      <c r="HHH94" s="195"/>
      <c r="HHI94" s="195"/>
      <c r="HHJ94" s="195"/>
      <c r="HHK94" s="195"/>
      <c r="HHL94" s="195"/>
      <c r="HHM94" s="195"/>
      <c r="HHN94" s="195"/>
      <c r="HHO94" s="195"/>
      <c r="HHP94" s="195"/>
      <c r="HHQ94" s="195"/>
      <c r="HHR94" s="195"/>
      <c r="HHS94" s="195"/>
      <c r="HHT94" s="195"/>
      <c r="HHU94" s="195"/>
      <c r="HHV94" s="195"/>
      <c r="HHW94" s="195"/>
      <c r="HHX94" s="195"/>
      <c r="HHY94" s="195"/>
      <c r="HHZ94" s="195"/>
      <c r="HIA94" s="195"/>
      <c r="HIB94" s="195"/>
      <c r="HIC94" s="195"/>
      <c r="HID94" s="195"/>
      <c r="HIE94" s="195"/>
      <c r="HIF94" s="195"/>
      <c r="HIG94" s="195"/>
      <c r="HIH94" s="195"/>
      <c r="HII94" s="195"/>
      <c r="HIJ94" s="195"/>
      <c r="HIK94" s="195"/>
      <c r="HIL94" s="195"/>
      <c r="HIM94" s="195"/>
      <c r="HIN94" s="195"/>
      <c r="HIO94" s="195"/>
      <c r="HIP94" s="195"/>
      <c r="HIQ94" s="195"/>
      <c r="HIR94" s="195"/>
      <c r="HIS94" s="195"/>
      <c r="HIT94" s="195"/>
      <c r="HIU94" s="195"/>
      <c r="HIV94" s="195"/>
      <c r="HIW94" s="195"/>
      <c r="HIX94" s="195"/>
      <c r="HIY94" s="195"/>
      <c r="HIZ94" s="195"/>
      <c r="HJA94" s="195"/>
      <c r="HJB94" s="195"/>
      <c r="HJC94" s="195"/>
      <c r="HJD94" s="195"/>
      <c r="HJE94" s="195"/>
      <c r="HJF94" s="195"/>
      <c r="HJG94" s="195"/>
      <c r="HJH94" s="195"/>
      <c r="HJI94" s="195"/>
      <c r="HJJ94" s="195"/>
      <c r="HJK94" s="195"/>
      <c r="HJL94" s="195"/>
      <c r="HJM94" s="195"/>
      <c r="HJN94" s="195"/>
      <c r="HJO94" s="195"/>
      <c r="HJP94" s="195"/>
      <c r="HJQ94" s="195"/>
      <c r="HJR94" s="195"/>
      <c r="HJS94" s="195"/>
      <c r="HJT94" s="195"/>
      <c r="HJU94" s="195"/>
      <c r="HJV94" s="195"/>
      <c r="HJW94" s="195"/>
      <c r="HJX94" s="195"/>
      <c r="HJY94" s="195"/>
      <c r="HJZ94" s="195"/>
      <c r="HKA94" s="195"/>
      <c r="HKB94" s="195"/>
      <c r="HKC94" s="195"/>
      <c r="HKD94" s="195"/>
      <c r="HKE94" s="195"/>
      <c r="HKF94" s="195"/>
      <c r="HKG94" s="195"/>
      <c r="HKH94" s="195"/>
      <c r="HKI94" s="195"/>
      <c r="HKJ94" s="195"/>
      <c r="HKK94" s="195"/>
      <c r="HKL94" s="195"/>
      <c r="HKM94" s="195"/>
      <c r="HKN94" s="195"/>
      <c r="HKO94" s="195"/>
      <c r="HKP94" s="195"/>
      <c r="HKQ94" s="195"/>
      <c r="HKR94" s="195"/>
      <c r="HKS94" s="195"/>
      <c r="HKT94" s="195"/>
      <c r="HKU94" s="195"/>
      <c r="HKV94" s="195"/>
      <c r="HKW94" s="195"/>
      <c r="HKX94" s="195"/>
      <c r="HKY94" s="195"/>
      <c r="HKZ94" s="195"/>
      <c r="HLA94" s="195"/>
      <c r="HLB94" s="195"/>
      <c r="HLC94" s="195"/>
      <c r="HLD94" s="195"/>
      <c r="HLE94" s="195"/>
      <c r="HLF94" s="195"/>
      <c r="HLG94" s="195"/>
      <c r="HLH94" s="195"/>
      <c r="HLI94" s="195"/>
      <c r="HLJ94" s="195"/>
      <c r="HLK94" s="195"/>
      <c r="HLL94" s="195"/>
      <c r="HLM94" s="195"/>
      <c r="HLN94" s="195"/>
      <c r="HLO94" s="195"/>
      <c r="HLP94" s="195"/>
      <c r="HLQ94" s="195"/>
      <c r="HLR94" s="195"/>
      <c r="HLS94" s="195"/>
      <c r="HLT94" s="195"/>
      <c r="HLU94" s="195"/>
      <c r="HLV94" s="195"/>
      <c r="HLW94" s="195"/>
      <c r="HLX94" s="195"/>
      <c r="HLY94" s="195"/>
      <c r="HLZ94" s="195"/>
      <c r="HMA94" s="195"/>
      <c r="HMB94" s="195"/>
      <c r="HMC94" s="195"/>
      <c r="HMD94" s="195"/>
      <c r="HME94" s="195"/>
      <c r="HMF94" s="195"/>
      <c r="HMG94" s="195"/>
      <c r="HMH94" s="195"/>
      <c r="HMI94" s="195"/>
      <c r="HMJ94" s="195"/>
      <c r="HMK94" s="195"/>
      <c r="HML94" s="195"/>
      <c r="HMM94" s="195"/>
      <c r="HMN94" s="195"/>
      <c r="HMO94" s="195"/>
      <c r="HMP94" s="195"/>
      <c r="HMQ94" s="195"/>
      <c r="HMR94" s="195"/>
      <c r="HMS94" s="195"/>
      <c r="HMT94" s="195"/>
      <c r="HMU94" s="195"/>
      <c r="HMV94" s="195"/>
      <c r="HMW94" s="195"/>
      <c r="HMX94" s="195"/>
      <c r="HMY94" s="195"/>
      <c r="HMZ94" s="195"/>
      <c r="HNA94" s="195"/>
      <c r="HNB94" s="195"/>
      <c r="HNC94" s="195"/>
      <c r="HND94" s="195"/>
      <c r="HNE94" s="195"/>
      <c r="HNF94" s="195"/>
      <c r="HNG94" s="195"/>
      <c r="HNH94" s="195"/>
      <c r="HNI94" s="195"/>
      <c r="HNJ94" s="195"/>
      <c r="HNK94" s="195"/>
      <c r="HNL94" s="195"/>
      <c r="HNM94" s="195"/>
      <c r="HNN94" s="195"/>
      <c r="HNO94" s="195"/>
      <c r="HNP94" s="195"/>
      <c r="HNQ94" s="195"/>
      <c r="HNR94" s="195"/>
      <c r="HNS94" s="195"/>
      <c r="HNT94" s="195"/>
      <c r="HNU94" s="195"/>
      <c r="HNV94" s="195"/>
      <c r="HNW94" s="195"/>
      <c r="HNX94" s="195"/>
      <c r="HNY94" s="195"/>
      <c r="HNZ94" s="195"/>
      <c r="HOA94" s="195"/>
      <c r="HOB94" s="195"/>
      <c r="HOC94" s="195"/>
      <c r="HOD94" s="195"/>
      <c r="HOE94" s="195"/>
      <c r="HOF94" s="195"/>
      <c r="HOG94" s="195"/>
      <c r="HOH94" s="195"/>
      <c r="HOI94" s="195"/>
      <c r="HOJ94" s="195"/>
      <c r="HOK94" s="195"/>
      <c r="HOL94" s="195"/>
      <c r="HOM94" s="195"/>
      <c r="HON94" s="195"/>
      <c r="HOO94" s="195"/>
      <c r="HOP94" s="195"/>
      <c r="HOQ94" s="195"/>
      <c r="HOR94" s="195"/>
      <c r="HOS94" s="195"/>
      <c r="HOT94" s="195"/>
      <c r="HOU94" s="195"/>
      <c r="HOV94" s="195"/>
      <c r="HOW94" s="195"/>
      <c r="HOX94" s="195"/>
      <c r="HOY94" s="195"/>
      <c r="HOZ94" s="195"/>
      <c r="HPA94" s="195"/>
      <c r="HPB94" s="195"/>
      <c r="HPC94" s="195"/>
      <c r="HPD94" s="195"/>
      <c r="HPE94" s="195"/>
      <c r="HPF94" s="195"/>
      <c r="HPG94" s="195"/>
      <c r="HPH94" s="195"/>
      <c r="HPI94" s="195"/>
      <c r="HPJ94" s="195"/>
      <c r="HPK94" s="195"/>
      <c r="HPL94" s="195"/>
      <c r="HPM94" s="195"/>
      <c r="HPN94" s="195"/>
      <c r="HPO94" s="195"/>
      <c r="HPP94" s="195"/>
      <c r="HPQ94" s="195"/>
      <c r="HPR94" s="195"/>
      <c r="HPS94" s="195"/>
      <c r="HPT94" s="195"/>
      <c r="HPU94" s="195"/>
      <c r="HPV94" s="195"/>
      <c r="HPW94" s="195"/>
      <c r="HPX94" s="195"/>
      <c r="HPY94" s="195"/>
      <c r="HPZ94" s="195"/>
      <c r="HQA94" s="195"/>
      <c r="HQB94" s="195"/>
      <c r="HQC94" s="195"/>
      <c r="HQD94" s="195"/>
      <c r="HQE94" s="195"/>
      <c r="HQF94" s="195"/>
      <c r="HQG94" s="195"/>
      <c r="HQH94" s="195"/>
      <c r="HQI94" s="195"/>
      <c r="HQJ94" s="195"/>
      <c r="HQK94" s="195"/>
      <c r="HQL94" s="195"/>
      <c r="HQM94" s="195"/>
      <c r="HQN94" s="195"/>
      <c r="HQO94" s="195"/>
      <c r="HQP94" s="195"/>
      <c r="HQQ94" s="195"/>
      <c r="HQR94" s="195"/>
      <c r="HQS94" s="195"/>
      <c r="HQT94" s="195"/>
      <c r="HQU94" s="195"/>
      <c r="HQV94" s="195"/>
      <c r="HQW94" s="195"/>
      <c r="HQX94" s="195"/>
      <c r="HQY94" s="195"/>
      <c r="HQZ94" s="195"/>
      <c r="HRA94" s="195"/>
      <c r="HRB94" s="195"/>
      <c r="HRC94" s="195"/>
      <c r="HRD94" s="195"/>
      <c r="HRE94" s="195"/>
      <c r="HRF94" s="195"/>
      <c r="HRG94" s="195"/>
      <c r="HRH94" s="195"/>
      <c r="HRI94" s="195"/>
      <c r="HRJ94" s="195"/>
      <c r="HRK94" s="195"/>
      <c r="HRL94" s="195"/>
      <c r="HRM94" s="195"/>
      <c r="HRN94" s="195"/>
      <c r="HRO94" s="195"/>
      <c r="HRP94" s="195"/>
      <c r="HRQ94" s="195"/>
      <c r="HRR94" s="195"/>
      <c r="HRS94" s="195"/>
      <c r="HRT94" s="195"/>
      <c r="HRU94" s="195"/>
      <c r="HRV94" s="195"/>
      <c r="HRW94" s="195"/>
      <c r="HRX94" s="195"/>
      <c r="HRY94" s="195"/>
      <c r="HRZ94" s="195"/>
      <c r="HSA94" s="195"/>
      <c r="HSB94" s="195"/>
      <c r="HSC94" s="195"/>
      <c r="HSD94" s="195"/>
      <c r="HSE94" s="195"/>
      <c r="HSF94" s="195"/>
      <c r="HSG94" s="195"/>
      <c r="HSH94" s="195"/>
      <c r="HSI94" s="195"/>
      <c r="HSJ94" s="195"/>
      <c r="HSK94" s="195"/>
      <c r="HSL94" s="195"/>
      <c r="HSM94" s="195"/>
      <c r="HSN94" s="195"/>
      <c r="HSO94" s="195"/>
      <c r="HSP94" s="195"/>
      <c r="HSQ94" s="195"/>
      <c r="HSR94" s="195"/>
      <c r="HSS94" s="195"/>
      <c r="HST94" s="195"/>
      <c r="HSU94" s="195"/>
      <c r="HSV94" s="195"/>
      <c r="HSW94" s="195"/>
      <c r="HSX94" s="195"/>
      <c r="HSY94" s="195"/>
      <c r="HSZ94" s="195"/>
      <c r="HTA94" s="195"/>
      <c r="HTB94" s="195"/>
      <c r="HTC94" s="195"/>
      <c r="HTD94" s="195"/>
      <c r="HTE94" s="195"/>
      <c r="HTF94" s="195"/>
      <c r="HTG94" s="195"/>
      <c r="HTH94" s="195"/>
      <c r="HTI94" s="195"/>
      <c r="HTJ94" s="195"/>
      <c r="HTK94" s="195"/>
      <c r="HTL94" s="195"/>
      <c r="HTM94" s="195"/>
      <c r="HTN94" s="195"/>
      <c r="HTO94" s="195"/>
      <c r="HTP94" s="195"/>
      <c r="HTQ94" s="195"/>
      <c r="HTR94" s="195"/>
      <c r="HTS94" s="195"/>
      <c r="HTT94" s="195"/>
      <c r="HTU94" s="195"/>
      <c r="HTV94" s="195"/>
      <c r="HTW94" s="195"/>
      <c r="HTX94" s="195"/>
      <c r="HTY94" s="195"/>
      <c r="HTZ94" s="195"/>
      <c r="HUA94" s="195"/>
      <c r="HUB94" s="195"/>
      <c r="HUC94" s="195"/>
      <c r="HUD94" s="195"/>
      <c r="HUE94" s="195"/>
      <c r="HUF94" s="195"/>
      <c r="HUG94" s="195"/>
      <c r="HUH94" s="195"/>
      <c r="HUI94" s="195"/>
      <c r="HUJ94" s="195"/>
      <c r="HUK94" s="195"/>
      <c r="HUL94" s="195"/>
      <c r="HUM94" s="195"/>
      <c r="HUN94" s="195"/>
      <c r="HUO94" s="195"/>
      <c r="HUP94" s="195"/>
      <c r="HUQ94" s="195"/>
      <c r="HUR94" s="195"/>
      <c r="HUS94" s="195"/>
      <c r="HUT94" s="195"/>
      <c r="HUU94" s="195"/>
      <c r="HUV94" s="195"/>
      <c r="HUW94" s="195"/>
      <c r="HUX94" s="195"/>
      <c r="HUY94" s="195"/>
      <c r="HUZ94" s="195"/>
      <c r="HVA94" s="195"/>
      <c r="HVB94" s="195"/>
      <c r="HVC94" s="195"/>
      <c r="HVD94" s="195"/>
      <c r="HVE94" s="195"/>
      <c r="HVF94" s="195"/>
      <c r="HVG94" s="195"/>
      <c r="HVH94" s="195"/>
      <c r="HVI94" s="195"/>
      <c r="HVJ94" s="195"/>
      <c r="HVK94" s="195"/>
      <c r="HVL94" s="195"/>
      <c r="HVM94" s="195"/>
      <c r="HVN94" s="195"/>
      <c r="HVO94" s="195"/>
      <c r="HVP94" s="195"/>
      <c r="HVQ94" s="195"/>
      <c r="HVR94" s="195"/>
      <c r="HVS94" s="195"/>
      <c r="HVT94" s="195"/>
      <c r="HVU94" s="195"/>
      <c r="HVV94" s="195"/>
      <c r="HVW94" s="195"/>
      <c r="HVX94" s="195"/>
      <c r="HVY94" s="195"/>
      <c r="HVZ94" s="195"/>
      <c r="HWA94" s="195"/>
      <c r="HWB94" s="195"/>
      <c r="HWC94" s="195"/>
      <c r="HWD94" s="195"/>
      <c r="HWE94" s="195"/>
      <c r="HWF94" s="195"/>
      <c r="HWG94" s="195"/>
      <c r="HWH94" s="195"/>
      <c r="HWI94" s="195"/>
      <c r="HWJ94" s="195"/>
      <c r="HWK94" s="195"/>
      <c r="HWL94" s="195"/>
      <c r="HWM94" s="195"/>
      <c r="HWN94" s="195"/>
      <c r="HWO94" s="195"/>
      <c r="HWP94" s="195"/>
      <c r="HWQ94" s="195"/>
      <c r="HWR94" s="195"/>
      <c r="HWS94" s="195"/>
      <c r="HWT94" s="195"/>
      <c r="HWU94" s="195"/>
      <c r="HWV94" s="195"/>
      <c r="HWW94" s="195"/>
      <c r="HWX94" s="195"/>
      <c r="HWY94" s="195"/>
      <c r="HWZ94" s="195"/>
      <c r="HXA94" s="195"/>
      <c r="HXB94" s="195"/>
      <c r="HXC94" s="195"/>
      <c r="HXD94" s="195"/>
      <c r="HXE94" s="195"/>
      <c r="HXF94" s="195"/>
      <c r="HXG94" s="195"/>
      <c r="HXH94" s="195"/>
      <c r="HXI94" s="195"/>
      <c r="HXJ94" s="195"/>
      <c r="HXK94" s="195"/>
      <c r="HXL94" s="195"/>
      <c r="HXM94" s="195"/>
      <c r="HXN94" s="195"/>
      <c r="HXO94" s="195"/>
      <c r="HXP94" s="195"/>
      <c r="HXQ94" s="195"/>
      <c r="HXR94" s="195"/>
      <c r="HXS94" s="195"/>
      <c r="HXT94" s="195"/>
      <c r="HXU94" s="195"/>
      <c r="HXV94" s="195"/>
      <c r="HXW94" s="195"/>
      <c r="HXX94" s="195"/>
      <c r="HXY94" s="195"/>
      <c r="HXZ94" s="195"/>
      <c r="HYA94" s="195"/>
      <c r="HYB94" s="195"/>
      <c r="HYC94" s="195"/>
      <c r="HYD94" s="195"/>
      <c r="HYE94" s="195"/>
      <c r="HYF94" s="195"/>
      <c r="HYG94" s="195"/>
      <c r="HYH94" s="195"/>
      <c r="HYI94" s="195"/>
      <c r="HYJ94" s="195"/>
      <c r="HYK94" s="195"/>
      <c r="HYL94" s="195"/>
      <c r="HYM94" s="195"/>
      <c r="HYN94" s="195"/>
      <c r="HYO94" s="195"/>
      <c r="HYP94" s="195"/>
      <c r="HYQ94" s="195"/>
      <c r="HYR94" s="195"/>
      <c r="HYS94" s="195"/>
      <c r="HYT94" s="195"/>
      <c r="HYU94" s="195"/>
      <c r="HYV94" s="195"/>
      <c r="HYW94" s="195"/>
      <c r="HYX94" s="195"/>
      <c r="HYY94" s="195"/>
      <c r="HYZ94" s="195"/>
      <c r="HZA94" s="195"/>
      <c r="HZB94" s="195"/>
      <c r="HZC94" s="195"/>
      <c r="HZD94" s="195"/>
      <c r="HZE94" s="195"/>
      <c r="HZF94" s="195"/>
      <c r="HZG94" s="195"/>
      <c r="HZH94" s="195"/>
      <c r="HZI94" s="195"/>
      <c r="HZJ94" s="195"/>
      <c r="HZK94" s="195"/>
      <c r="HZL94" s="195"/>
      <c r="HZM94" s="195"/>
      <c r="HZN94" s="195"/>
      <c r="HZO94" s="195"/>
      <c r="HZP94" s="195"/>
      <c r="HZQ94" s="195"/>
      <c r="HZR94" s="195"/>
      <c r="HZS94" s="195"/>
      <c r="HZT94" s="195"/>
      <c r="HZU94" s="195"/>
      <c r="HZV94" s="195"/>
      <c r="HZW94" s="195"/>
      <c r="HZX94" s="195"/>
      <c r="HZY94" s="195"/>
      <c r="HZZ94" s="195"/>
      <c r="IAA94" s="195"/>
      <c r="IAB94" s="195"/>
      <c r="IAC94" s="195"/>
      <c r="IAD94" s="195"/>
      <c r="IAE94" s="195"/>
      <c r="IAF94" s="195"/>
      <c r="IAG94" s="195"/>
      <c r="IAH94" s="195"/>
      <c r="IAI94" s="195"/>
      <c r="IAJ94" s="195"/>
      <c r="IAK94" s="195"/>
      <c r="IAL94" s="195"/>
      <c r="IAM94" s="195"/>
      <c r="IAN94" s="195"/>
      <c r="IAO94" s="195"/>
      <c r="IAP94" s="195"/>
      <c r="IAQ94" s="195"/>
      <c r="IAR94" s="195"/>
      <c r="IAS94" s="195"/>
      <c r="IAT94" s="195"/>
      <c r="IAU94" s="195"/>
      <c r="IAV94" s="195"/>
      <c r="IAW94" s="195"/>
      <c r="IAX94" s="195"/>
      <c r="IAY94" s="195"/>
      <c r="IAZ94" s="195"/>
      <c r="IBA94" s="195"/>
      <c r="IBB94" s="195"/>
      <c r="IBC94" s="195"/>
      <c r="IBD94" s="195"/>
      <c r="IBE94" s="195"/>
      <c r="IBF94" s="195"/>
      <c r="IBG94" s="195"/>
      <c r="IBH94" s="195"/>
      <c r="IBI94" s="195"/>
      <c r="IBJ94" s="195"/>
      <c r="IBK94" s="195"/>
      <c r="IBL94" s="195"/>
      <c r="IBM94" s="195"/>
      <c r="IBN94" s="195"/>
      <c r="IBO94" s="195"/>
      <c r="IBP94" s="195"/>
      <c r="IBQ94" s="195"/>
      <c r="IBR94" s="195"/>
      <c r="IBS94" s="195"/>
      <c r="IBT94" s="195"/>
      <c r="IBU94" s="195"/>
      <c r="IBV94" s="195"/>
      <c r="IBW94" s="195"/>
      <c r="IBX94" s="195"/>
      <c r="IBY94" s="195"/>
      <c r="IBZ94" s="195"/>
      <c r="ICA94" s="195"/>
      <c r="ICB94" s="195"/>
      <c r="ICC94" s="195"/>
      <c r="ICD94" s="195"/>
      <c r="ICE94" s="195"/>
      <c r="ICF94" s="195"/>
      <c r="ICG94" s="195"/>
      <c r="ICH94" s="195"/>
      <c r="ICI94" s="195"/>
      <c r="ICJ94" s="195"/>
      <c r="ICK94" s="195"/>
      <c r="ICL94" s="195"/>
      <c r="ICM94" s="195"/>
      <c r="ICN94" s="195"/>
      <c r="ICO94" s="195"/>
      <c r="ICP94" s="195"/>
      <c r="ICQ94" s="195"/>
      <c r="ICR94" s="195"/>
      <c r="ICS94" s="195"/>
      <c r="ICT94" s="195"/>
      <c r="ICU94" s="195"/>
      <c r="ICV94" s="195"/>
      <c r="ICW94" s="195"/>
      <c r="ICX94" s="195"/>
      <c r="ICY94" s="195"/>
      <c r="ICZ94" s="195"/>
      <c r="IDA94" s="195"/>
      <c r="IDB94" s="195"/>
      <c r="IDC94" s="195"/>
      <c r="IDD94" s="195"/>
      <c r="IDE94" s="195"/>
      <c r="IDF94" s="195"/>
      <c r="IDG94" s="195"/>
      <c r="IDH94" s="195"/>
      <c r="IDI94" s="195"/>
      <c r="IDJ94" s="195"/>
      <c r="IDK94" s="195"/>
      <c r="IDL94" s="195"/>
      <c r="IDM94" s="195"/>
      <c r="IDN94" s="195"/>
      <c r="IDO94" s="195"/>
      <c r="IDP94" s="195"/>
      <c r="IDQ94" s="195"/>
      <c r="IDR94" s="195"/>
      <c r="IDS94" s="195"/>
      <c r="IDT94" s="195"/>
      <c r="IDU94" s="195"/>
      <c r="IDV94" s="195"/>
      <c r="IDW94" s="195"/>
      <c r="IDX94" s="195"/>
      <c r="IDY94" s="195"/>
      <c r="IDZ94" s="195"/>
      <c r="IEA94" s="195"/>
      <c r="IEB94" s="195"/>
      <c r="IEC94" s="195"/>
      <c r="IED94" s="195"/>
      <c r="IEE94" s="195"/>
      <c r="IEF94" s="195"/>
      <c r="IEG94" s="195"/>
      <c r="IEH94" s="195"/>
      <c r="IEI94" s="195"/>
      <c r="IEJ94" s="195"/>
      <c r="IEK94" s="195"/>
      <c r="IEL94" s="195"/>
      <c r="IEM94" s="195"/>
      <c r="IEN94" s="195"/>
      <c r="IEO94" s="195"/>
      <c r="IEP94" s="195"/>
      <c r="IEQ94" s="195"/>
      <c r="IER94" s="195"/>
      <c r="IES94" s="195"/>
      <c r="IET94" s="195"/>
      <c r="IEU94" s="195"/>
      <c r="IEV94" s="195"/>
      <c r="IEW94" s="195"/>
      <c r="IEX94" s="195"/>
      <c r="IEY94" s="195"/>
      <c r="IEZ94" s="195"/>
      <c r="IFA94" s="195"/>
      <c r="IFB94" s="195"/>
      <c r="IFC94" s="195"/>
      <c r="IFD94" s="195"/>
      <c r="IFE94" s="195"/>
      <c r="IFF94" s="195"/>
      <c r="IFG94" s="195"/>
      <c r="IFH94" s="195"/>
      <c r="IFI94" s="195"/>
      <c r="IFJ94" s="195"/>
      <c r="IFK94" s="195"/>
      <c r="IFL94" s="195"/>
      <c r="IFM94" s="195"/>
      <c r="IFN94" s="195"/>
      <c r="IFO94" s="195"/>
      <c r="IFP94" s="195"/>
      <c r="IFQ94" s="195"/>
      <c r="IFR94" s="195"/>
      <c r="IFS94" s="195"/>
      <c r="IFT94" s="195"/>
      <c r="IFU94" s="195"/>
      <c r="IFV94" s="195"/>
      <c r="IFW94" s="195"/>
      <c r="IFX94" s="195"/>
      <c r="IFY94" s="195"/>
      <c r="IFZ94" s="195"/>
      <c r="IGA94" s="195"/>
      <c r="IGB94" s="195"/>
      <c r="IGC94" s="195"/>
      <c r="IGD94" s="195"/>
      <c r="IGE94" s="195"/>
      <c r="IGF94" s="195"/>
      <c r="IGG94" s="195"/>
      <c r="IGH94" s="195"/>
      <c r="IGI94" s="195"/>
      <c r="IGJ94" s="195"/>
      <c r="IGK94" s="195"/>
      <c r="IGL94" s="195"/>
      <c r="IGM94" s="195"/>
      <c r="IGN94" s="195"/>
      <c r="IGO94" s="195"/>
      <c r="IGP94" s="195"/>
      <c r="IGQ94" s="195"/>
      <c r="IGR94" s="195"/>
      <c r="IGS94" s="195"/>
      <c r="IGT94" s="195"/>
      <c r="IGU94" s="195"/>
      <c r="IGV94" s="195"/>
      <c r="IGW94" s="195"/>
      <c r="IGX94" s="195"/>
      <c r="IGY94" s="195"/>
      <c r="IGZ94" s="195"/>
      <c r="IHA94" s="195"/>
      <c r="IHB94" s="195"/>
      <c r="IHC94" s="195"/>
      <c r="IHD94" s="195"/>
      <c r="IHE94" s="195"/>
      <c r="IHF94" s="195"/>
      <c r="IHG94" s="195"/>
      <c r="IHH94" s="195"/>
      <c r="IHI94" s="195"/>
      <c r="IHJ94" s="195"/>
      <c r="IHK94" s="195"/>
      <c r="IHL94" s="195"/>
      <c r="IHM94" s="195"/>
      <c r="IHN94" s="195"/>
      <c r="IHO94" s="195"/>
      <c r="IHP94" s="195"/>
      <c r="IHQ94" s="195"/>
      <c r="IHR94" s="195"/>
      <c r="IHS94" s="195"/>
      <c r="IHT94" s="195"/>
      <c r="IHU94" s="195"/>
      <c r="IHV94" s="195"/>
      <c r="IHW94" s="195"/>
      <c r="IHX94" s="195"/>
      <c r="IHY94" s="195"/>
      <c r="IHZ94" s="195"/>
      <c r="IIA94" s="195"/>
      <c r="IIB94" s="195"/>
      <c r="IIC94" s="195"/>
      <c r="IID94" s="195"/>
      <c r="IIE94" s="195"/>
      <c r="IIF94" s="195"/>
      <c r="IIG94" s="195"/>
      <c r="IIH94" s="195"/>
      <c r="III94" s="195"/>
      <c r="IIJ94" s="195"/>
      <c r="IIK94" s="195"/>
      <c r="IIL94" s="195"/>
      <c r="IIM94" s="195"/>
      <c r="IIN94" s="195"/>
      <c r="IIO94" s="195"/>
      <c r="IIP94" s="195"/>
      <c r="IIQ94" s="195"/>
      <c r="IIR94" s="195"/>
      <c r="IIS94" s="195"/>
      <c r="IIT94" s="195"/>
      <c r="IIU94" s="195"/>
      <c r="IIV94" s="195"/>
      <c r="IIW94" s="195"/>
      <c r="IIX94" s="195"/>
      <c r="IIY94" s="195"/>
      <c r="IIZ94" s="195"/>
      <c r="IJA94" s="195"/>
      <c r="IJB94" s="195"/>
      <c r="IJC94" s="195"/>
      <c r="IJD94" s="195"/>
      <c r="IJE94" s="195"/>
      <c r="IJF94" s="195"/>
      <c r="IJG94" s="195"/>
      <c r="IJH94" s="195"/>
      <c r="IJI94" s="195"/>
      <c r="IJJ94" s="195"/>
      <c r="IJK94" s="195"/>
      <c r="IJL94" s="195"/>
      <c r="IJM94" s="195"/>
      <c r="IJN94" s="195"/>
      <c r="IJO94" s="195"/>
      <c r="IJP94" s="195"/>
      <c r="IJQ94" s="195"/>
      <c r="IJR94" s="195"/>
      <c r="IJS94" s="195"/>
      <c r="IJT94" s="195"/>
      <c r="IJU94" s="195"/>
      <c r="IJV94" s="195"/>
      <c r="IJW94" s="195"/>
      <c r="IJX94" s="195"/>
      <c r="IJY94" s="195"/>
      <c r="IJZ94" s="195"/>
      <c r="IKA94" s="195"/>
      <c r="IKB94" s="195"/>
      <c r="IKC94" s="195"/>
      <c r="IKD94" s="195"/>
      <c r="IKE94" s="195"/>
      <c r="IKF94" s="195"/>
      <c r="IKG94" s="195"/>
      <c r="IKH94" s="195"/>
      <c r="IKI94" s="195"/>
      <c r="IKJ94" s="195"/>
      <c r="IKK94" s="195"/>
      <c r="IKL94" s="195"/>
      <c r="IKM94" s="195"/>
      <c r="IKN94" s="195"/>
      <c r="IKO94" s="195"/>
      <c r="IKP94" s="195"/>
      <c r="IKQ94" s="195"/>
      <c r="IKR94" s="195"/>
      <c r="IKS94" s="195"/>
      <c r="IKT94" s="195"/>
      <c r="IKU94" s="195"/>
      <c r="IKV94" s="195"/>
      <c r="IKW94" s="195"/>
      <c r="IKX94" s="195"/>
      <c r="IKY94" s="195"/>
      <c r="IKZ94" s="195"/>
      <c r="ILA94" s="195"/>
      <c r="ILB94" s="195"/>
      <c r="ILC94" s="195"/>
      <c r="ILD94" s="195"/>
      <c r="ILE94" s="195"/>
      <c r="ILF94" s="195"/>
      <c r="ILG94" s="195"/>
      <c r="ILH94" s="195"/>
      <c r="ILI94" s="195"/>
      <c r="ILJ94" s="195"/>
      <c r="ILK94" s="195"/>
      <c r="ILL94" s="195"/>
      <c r="ILM94" s="195"/>
      <c r="ILN94" s="195"/>
      <c r="ILO94" s="195"/>
      <c r="ILP94" s="195"/>
      <c r="ILQ94" s="195"/>
      <c r="ILR94" s="195"/>
      <c r="ILS94" s="195"/>
      <c r="ILT94" s="195"/>
      <c r="ILU94" s="195"/>
      <c r="ILV94" s="195"/>
      <c r="ILW94" s="195"/>
      <c r="ILX94" s="195"/>
      <c r="ILY94" s="195"/>
      <c r="ILZ94" s="195"/>
      <c r="IMA94" s="195"/>
      <c r="IMB94" s="195"/>
      <c r="IMC94" s="195"/>
      <c r="IMD94" s="195"/>
      <c r="IME94" s="195"/>
      <c r="IMF94" s="195"/>
      <c r="IMG94" s="195"/>
      <c r="IMH94" s="195"/>
      <c r="IMI94" s="195"/>
      <c r="IMJ94" s="195"/>
      <c r="IMK94" s="195"/>
      <c r="IML94" s="195"/>
      <c r="IMM94" s="195"/>
      <c r="IMN94" s="195"/>
      <c r="IMO94" s="195"/>
      <c r="IMP94" s="195"/>
      <c r="IMQ94" s="195"/>
      <c r="IMR94" s="195"/>
      <c r="IMS94" s="195"/>
      <c r="IMT94" s="195"/>
      <c r="IMU94" s="195"/>
      <c r="IMV94" s="195"/>
      <c r="IMW94" s="195"/>
      <c r="IMX94" s="195"/>
      <c r="IMY94" s="195"/>
      <c r="IMZ94" s="195"/>
      <c r="INA94" s="195"/>
      <c r="INB94" s="195"/>
      <c r="INC94" s="195"/>
      <c r="IND94" s="195"/>
      <c r="INE94" s="195"/>
      <c r="INF94" s="195"/>
      <c r="ING94" s="195"/>
      <c r="INH94" s="195"/>
      <c r="INI94" s="195"/>
      <c r="INJ94" s="195"/>
      <c r="INK94" s="195"/>
      <c r="INL94" s="195"/>
      <c r="INM94" s="195"/>
      <c r="INN94" s="195"/>
      <c r="INO94" s="195"/>
      <c r="INP94" s="195"/>
      <c r="INQ94" s="195"/>
      <c r="INR94" s="195"/>
      <c r="INS94" s="195"/>
      <c r="INT94" s="195"/>
      <c r="INU94" s="195"/>
      <c r="INV94" s="195"/>
      <c r="INW94" s="195"/>
      <c r="INX94" s="195"/>
      <c r="INY94" s="195"/>
      <c r="INZ94" s="195"/>
      <c r="IOA94" s="195"/>
      <c r="IOB94" s="195"/>
      <c r="IOC94" s="195"/>
      <c r="IOD94" s="195"/>
      <c r="IOE94" s="195"/>
      <c r="IOF94" s="195"/>
      <c r="IOG94" s="195"/>
      <c r="IOH94" s="195"/>
      <c r="IOI94" s="195"/>
      <c r="IOJ94" s="195"/>
      <c r="IOK94" s="195"/>
      <c r="IOL94" s="195"/>
      <c r="IOM94" s="195"/>
      <c r="ION94" s="195"/>
      <c r="IOO94" s="195"/>
      <c r="IOP94" s="195"/>
      <c r="IOQ94" s="195"/>
      <c r="IOR94" s="195"/>
      <c r="IOS94" s="195"/>
      <c r="IOT94" s="195"/>
      <c r="IOU94" s="195"/>
      <c r="IOV94" s="195"/>
      <c r="IOW94" s="195"/>
      <c r="IOX94" s="195"/>
      <c r="IOY94" s="195"/>
      <c r="IOZ94" s="195"/>
      <c r="IPA94" s="195"/>
      <c r="IPB94" s="195"/>
      <c r="IPC94" s="195"/>
      <c r="IPD94" s="195"/>
      <c r="IPE94" s="195"/>
      <c r="IPF94" s="195"/>
      <c r="IPG94" s="195"/>
      <c r="IPH94" s="195"/>
      <c r="IPI94" s="195"/>
      <c r="IPJ94" s="195"/>
      <c r="IPK94" s="195"/>
      <c r="IPL94" s="195"/>
      <c r="IPM94" s="195"/>
      <c r="IPN94" s="195"/>
      <c r="IPO94" s="195"/>
      <c r="IPP94" s="195"/>
      <c r="IPQ94" s="195"/>
      <c r="IPR94" s="195"/>
      <c r="IPS94" s="195"/>
      <c r="IPT94" s="195"/>
      <c r="IPU94" s="195"/>
      <c r="IPV94" s="195"/>
      <c r="IPW94" s="195"/>
      <c r="IPX94" s="195"/>
      <c r="IPY94" s="195"/>
      <c r="IPZ94" s="195"/>
      <c r="IQA94" s="195"/>
      <c r="IQB94" s="195"/>
      <c r="IQC94" s="195"/>
      <c r="IQD94" s="195"/>
      <c r="IQE94" s="195"/>
      <c r="IQF94" s="195"/>
      <c r="IQG94" s="195"/>
      <c r="IQH94" s="195"/>
      <c r="IQI94" s="195"/>
      <c r="IQJ94" s="195"/>
      <c r="IQK94" s="195"/>
      <c r="IQL94" s="195"/>
      <c r="IQM94" s="195"/>
      <c r="IQN94" s="195"/>
      <c r="IQO94" s="195"/>
      <c r="IQP94" s="195"/>
      <c r="IQQ94" s="195"/>
      <c r="IQR94" s="195"/>
      <c r="IQS94" s="195"/>
      <c r="IQT94" s="195"/>
      <c r="IQU94" s="195"/>
      <c r="IQV94" s="195"/>
      <c r="IQW94" s="195"/>
      <c r="IQX94" s="195"/>
      <c r="IQY94" s="195"/>
      <c r="IQZ94" s="195"/>
      <c r="IRA94" s="195"/>
      <c r="IRB94" s="195"/>
      <c r="IRC94" s="195"/>
      <c r="IRD94" s="195"/>
      <c r="IRE94" s="195"/>
      <c r="IRF94" s="195"/>
      <c r="IRG94" s="195"/>
      <c r="IRH94" s="195"/>
      <c r="IRI94" s="195"/>
      <c r="IRJ94" s="195"/>
      <c r="IRK94" s="195"/>
      <c r="IRL94" s="195"/>
      <c r="IRM94" s="195"/>
      <c r="IRN94" s="195"/>
      <c r="IRO94" s="195"/>
      <c r="IRP94" s="195"/>
      <c r="IRQ94" s="195"/>
      <c r="IRR94" s="195"/>
      <c r="IRS94" s="195"/>
      <c r="IRT94" s="195"/>
      <c r="IRU94" s="195"/>
      <c r="IRV94" s="195"/>
      <c r="IRW94" s="195"/>
      <c r="IRX94" s="195"/>
      <c r="IRY94" s="195"/>
      <c r="IRZ94" s="195"/>
      <c r="ISA94" s="195"/>
      <c r="ISB94" s="195"/>
      <c r="ISC94" s="195"/>
      <c r="ISD94" s="195"/>
      <c r="ISE94" s="195"/>
      <c r="ISF94" s="195"/>
      <c r="ISG94" s="195"/>
      <c r="ISH94" s="195"/>
      <c r="ISI94" s="195"/>
      <c r="ISJ94" s="195"/>
      <c r="ISK94" s="195"/>
      <c r="ISL94" s="195"/>
      <c r="ISM94" s="195"/>
      <c r="ISN94" s="195"/>
      <c r="ISO94" s="195"/>
      <c r="ISP94" s="195"/>
      <c r="ISQ94" s="195"/>
      <c r="ISR94" s="195"/>
      <c r="ISS94" s="195"/>
      <c r="IST94" s="195"/>
      <c r="ISU94" s="195"/>
      <c r="ISV94" s="195"/>
      <c r="ISW94" s="195"/>
      <c r="ISX94" s="195"/>
      <c r="ISY94" s="195"/>
      <c r="ISZ94" s="195"/>
      <c r="ITA94" s="195"/>
      <c r="ITB94" s="195"/>
      <c r="ITC94" s="195"/>
      <c r="ITD94" s="195"/>
      <c r="ITE94" s="195"/>
      <c r="ITF94" s="195"/>
      <c r="ITG94" s="195"/>
      <c r="ITH94" s="195"/>
      <c r="ITI94" s="195"/>
      <c r="ITJ94" s="195"/>
      <c r="ITK94" s="195"/>
      <c r="ITL94" s="195"/>
      <c r="ITM94" s="195"/>
      <c r="ITN94" s="195"/>
      <c r="ITO94" s="195"/>
      <c r="ITP94" s="195"/>
      <c r="ITQ94" s="195"/>
      <c r="ITR94" s="195"/>
      <c r="ITS94" s="195"/>
      <c r="ITT94" s="195"/>
      <c r="ITU94" s="195"/>
      <c r="ITV94" s="195"/>
      <c r="ITW94" s="195"/>
      <c r="ITX94" s="195"/>
      <c r="ITY94" s="195"/>
      <c r="ITZ94" s="195"/>
      <c r="IUA94" s="195"/>
      <c r="IUB94" s="195"/>
      <c r="IUC94" s="195"/>
      <c r="IUD94" s="195"/>
      <c r="IUE94" s="195"/>
      <c r="IUF94" s="195"/>
      <c r="IUG94" s="195"/>
      <c r="IUH94" s="195"/>
      <c r="IUI94" s="195"/>
      <c r="IUJ94" s="195"/>
      <c r="IUK94" s="195"/>
      <c r="IUL94" s="195"/>
      <c r="IUM94" s="195"/>
      <c r="IUN94" s="195"/>
      <c r="IUO94" s="195"/>
      <c r="IUP94" s="195"/>
      <c r="IUQ94" s="195"/>
      <c r="IUR94" s="195"/>
      <c r="IUS94" s="195"/>
      <c r="IUT94" s="195"/>
      <c r="IUU94" s="195"/>
      <c r="IUV94" s="195"/>
      <c r="IUW94" s="195"/>
      <c r="IUX94" s="195"/>
      <c r="IUY94" s="195"/>
      <c r="IUZ94" s="195"/>
      <c r="IVA94" s="195"/>
      <c r="IVB94" s="195"/>
      <c r="IVC94" s="195"/>
      <c r="IVD94" s="195"/>
      <c r="IVE94" s="195"/>
      <c r="IVF94" s="195"/>
      <c r="IVG94" s="195"/>
      <c r="IVH94" s="195"/>
      <c r="IVI94" s="195"/>
      <c r="IVJ94" s="195"/>
      <c r="IVK94" s="195"/>
      <c r="IVL94" s="195"/>
      <c r="IVM94" s="195"/>
      <c r="IVN94" s="195"/>
      <c r="IVO94" s="195"/>
      <c r="IVP94" s="195"/>
      <c r="IVQ94" s="195"/>
      <c r="IVR94" s="195"/>
      <c r="IVS94" s="195"/>
      <c r="IVT94" s="195"/>
      <c r="IVU94" s="195"/>
      <c r="IVV94" s="195"/>
      <c r="IVW94" s="195"/>
      <c r="IVX94" s="195"/>
      <c r="IVY94" s="195"/>
      <c r="IVZ94" s="195"/>
      <c r="IWA94" s="195"/>
      <c r="IWB94" s="195"/>
      <c r="IWC94" s="195"/>
      <c r="IWD94" s="195"/>
      <c r="IWE94" s="195"/>
      <c r="IWF94" s="195"/>
      <c r="IWG94" s="195"/>
      <c r="IWH94" s="195"/>
      <c r="IWI94" s="195"/>
      <c r="IWJ94" s="195"/>
      <c r="IWK94" s="195"/>
      <c r="IWL94" s="195"/>
      <c r="IWM94" s="195"/>
      <c r="IWN94" s="195"/>
      <c r="IWO94" s="195"/>
      <c r="IWP94" s="195"/>
      <c r="IWQ94" s="195"/>
      <c r="IWR94" s="195"/>
      <c r="IWS94" s="195"/>
      <c r="IWT94" s="195"/>
      <c r="IWU94" s="195"/>
      <c r="IWV94" s="195"/>
      <c r="IWW94" s="195"/>
      <c r="IWX94" s="195"/>
      <c r="IWY94" s="195"/>
      <c r="IWZ94" s="195"/>
      <c r="IXA94" s="195"/>
      <c r="IXB94" s="195"/>
      <c r="IXC94" s="195"/>
      <c r="IXD94" s="195"/>
      <c r="IXE94" s="195"/>
      <c r="IXF94" s="195"/>
      <c r="IXG94" s="195"/>
      <c r="IXH94" s="195"/>
      <c r="IXI94" s="195"/>
      <c r="IXJ94" s="195"/>
      <c r="IXK94" s="195"/>
      <c r="IXL94" s="195"/>
      <c r="IXM94" s="195"/>
      <c r="IXN94" s="195"/>
      <c r="IXO94" s="195"/>
      <c r="IXP94" s="195"/>
      <c r="IXQ94" s="195"/>
      <c r="IXR94" s="195"/>
      <c r="IXS94" s="195"/>
      <c r="IXT94" s="195"/>
      <c r="IXU94" s="195"/>
      <c r="IXV94" s="195"/>
      <c r="IXW94" s="195"/>
      <c r="IXX94" s="195"/>
      <c r="IXY94" s="195"/>
      <c r="IXZ94" s="195"/>
      <c r="IYA94" s="195"/>
      <c r="IYB94" s="195"/>
      <c r="IYC94" s="195"/>
      <c r="IYD94" s="195"/>
      <c r="IYE94" s="195"/>
      <c r="IYF94" s="195"/>
      <c r="IYG94" s="195"/>
      <c r="IYH94" s="195"/>
      <c r="IYI94" s="195"/>
      <c r="IYJ94" s="195"/>
      <c r="IYK94" s="195"/>
      <c r="IYL94" s="195"/>
      <c r="IYM94" s="195"/>
      <c r="IYN94" s="195"/>
      <c r="IYO94" s="195"/>
      <c r="IYP94" s="195"/>
      <c r="IYQ94" s="195"/>
      <c r="IYR94" s="195"/>
      <c r="IYS94" s="195"/>
      <c r="IYT94" s="195"/>
      <c r="IYU94" s="195"/>
      <c r="IYV94" s="195"/>
      <c r="IYW94" s="195"/>
      <c r="IYX94" s="195"/>
      <c r="IYY94" s="195"/>
      <c r="IYZ94" s="195"/>
      <c r="IZA94" s="195"/>
      <c r="IZB94" s="195"/>
      <c r="IZC94" s="195"/>
      <c r="IZD94" s="195"/>
      <c r="IZE94" s="195"/>
      <c r="IZF94" s="195"/>
      <c r="IZG94" s="195"/>
      <c r="IZH94" s="195"/>
      <c r="IZI94" s="195"/>
      <c r="IZJ94" s="195"/>
      <c r="IZK94" s="195"/>
      <c r="IZL94" s="195"/>
      <c r="IZM94" s="195"/>
      <c r="IZN94" s="195"/>
      <c r="IZO94" s="195"/>
      <c r="IZP94" s="195"/>
      <c r="IZQ94" s="195"/>
      <c r="IZR94" s="195"/>
      <c r="IZS94" s="195"/>
      <c r="IZT94" s="195"/>
      <c r="IZU94" s="195"/>
      <c r="IZV94" s="195"/>
      <c r="IZW94" s="195"/>
      <c r="IZX94" s="195"/>
      <c r="IZY94" s="195"/>
      <c r="IZZ94" s="195"/>
      <c r="JAA94" s="195"/>
      <c r="JAB94" s="195"/>
      <c r="JAC94" s="195"/>
      <c r="JAD94" s="195"/>
      <c r="JAE94" s="195"/>
      <c r="JAF94" s="195"/>
      <c r="JAG94" s="195"/>
      <c r="JAH94" s="195"/>
      <c r="JAI94" s="195"/>
      <c r="JAJ94" s="195"/>
      <c r="JAK94" s="195"/>
      <c r="JAL94" s="195"/>
      <c r="JAM94" s="195"/>
      <c r="JAN94" s="195"/>
      <c r="JAO94" s="195"/>
      <c r="JAP94" s="195"/>
      <c r="JAQ94" s="195"/>
      <c r="JAR94" s="195"/>
      <c r="JAS94" s="195"/>
      <c r="JAT94" s="195"/>
      <c r="JAU94" s="195"/>
      <c r="JAV94" s="195"/>
      <c r="JAW94" s="195"/>
      <c r="JAX94" s="195"/>
      <c r="JAY94" s="195"/>
      <c r="JAZ94" s="195"/>
      <c r="JBA94" s="195"/>
      <c r="JBB94" s="195"/>
      <c r="JBC94" s="195"/>
      <c r="JBD94" s="195"/>
      <c r="JBE94" s="195"/>
      <c r="JBF94" s="195"/>
      <c r="JBG94" s="195"/>
      <c r="JBH94" s="195"/>
      <c r="JBI94" s="195"/>
      <c r="JBJ94" s="195"/>
      <c r="JBK94" s="195"/>
      <c r="JBL94" s="195"/>
      <c r="JBM94" s="195"/>
      <c r="JBN94" s="195"/>
      <c r="JBO94" s="195"/>
      <c r="JBP94" s="195"/>
      <c r="JBQ94" s="195"/>
      <c r="JBR94" s="195"/>
      <c r="JBS94" s="195"/>
      <c r="JBT94" s="195"/>
      <c r="JBU94" s="195"/>
      <c r="JBV94" s="195"/>
      <c r="JBW94" s="195"/>
      <c r="JBX94" s="195"/>
      <c r="JBY94" s="195"/>
      <c r="JBZ94" s="195"/>
      <c r="JCA94" s="195"/>
      <c r="JCB94" s="195"/>
      <c r="JCC94" s="195"/>
      <c r="JCD94" s="195"/>
      <c r="JCE94" s="195"/>
      <c r="JCF94" s="195"/>
      <c r="JCG94" s="195"/>
      <c r="JCH94" s="195"/>
      <c r="JCI94" s="195"/>
      <c r="JCJ94" s="195"/>
      <c r="JCK94" s="195"/>
      <c r="JCL94" s="195"/>
      <c r="JCM94" s="195"/>
      <c r="JCN94" s="195"/>
      <c r="JCO94" s="195"/>
      <c r="JCP94" s="195"/>
      <c r="JCQ94" s="195"/>
      <c r="JCR94" s="195"/>
      <c r="JCS94" s="195"/>
      <c r="JCT94" s="195"/>
      <c r="JCU94" s="195"/>
      <c r="JCV94" s="195"/>
      <c r="JCW94" s="195"/>
      <c r="JCX94" s="195"/>
      <c r="JCY94" s="195"/>
      <c r="JCZ94" s="195"/>
      <c r="JDA94" s="195"/>
      <c r="JDB94" s="195"/>
      <c r="JDC94" s="195"/>
      <c r="JDD94" s="195"/>
      <c r="JDE94" s="195"/>
      <c r="JDF94" s="195"/>
      <c r="JDG94" s="195"/>
      <c r="JDH94" s="195"/>
      <c r="JDI94" s="195"/>
      <c r="JDJ94" s="195"/>
      <c r="JDK94" s="195"/>
      <c r="JDL94" s="195"/>
      <c r="JDM94" s="195"/>
      <c r="JDN94" s="195"/>
      <c r="JDO94" s="195"/>
      <c r="JDP94" s="195"/>
      <c r="JDQ94" s="195"/>
      <c r="JDR94" s="195"/>
      <c r="JDS94" s="195"/>
      <c r="JDT94" s="195"/>
      <c r="JDU94" s="195"/>
      <c r="JDV94" s="195"/>
      <c r="JDW94" s="195"/>
      <c r="JDX94" s="195"/>
      <c r="JDY94" s="195"/>
      <c r="JDZ94" s="195"/>
      <c r="JEA94" s="195"/>
      <c r="JEB94" s="195"/>
      <c r="JEC94" s="195"/>
      <c r="JED94" s="195"/>
      <c r="JEE94" s="195"/>
      <c r="JEF94" s="195"/>
      <c r="JEG94" s="195"/>
      <c r="JEH94" s="195"/>
      <c r="JEI94" s="195"/>
      <c r="JEJ94" s="195"/>
      <c r="JEK94" s="195"/>
      <c r="JEL94" s="195"/>
      <c r="JEM94" s="195"/>
      <c r="JEN94" s="195"/>
      <c r="JEO94" s="195"/>
      <c r="JEP94" s="195"/>
      <c r="JEQ94" s="195"/>
      <c r="JER94" s="195"/>
      <c r="JES94" s="195"/>
      <c r="JET94" s="195"/>
      <c r="JEU94" s="195"/>
      <c r="JEV94" s="195"/>
      <c r="JEW94" s="195"/>
      <c r="JEX94" s="195"/>
      <c r="JEY94" s="195"/>
      <c r="JEZ94" s="195"/>
      <c r="JFA94" s="195"/>
      <c r="JFB94" s="195"/>
      <c r="JFC94" s="195"/>
      <c r="JFD94" s="195"/>
      <c r="JFE94" s="195"/>
      <c r="JFF94" s="195"/>
      <c r="JFG94" s="195"/>
      <c r="JFH94" s="195"/>
      <c r="JFI94" s="195"/>
      <c r="JFJ94" s="195"/>
      <c r="JFK94" s="195"/>
      <c r="JFL94" s="195"/>
      <c r="JFM94" s="195"/>
      <c r="JFN94" s="195"/>
      <c r="JFO94" s="195"/>
      <c r="JFP94" s="195"/>
      <c r="JFQ94" s="195"/>
      <c r="JFR94" s="195"/>
      <c r="JFS94" s="195"/>
      <c r="JFT94" s="195"/>
      <c r="JFU94" s="195"/>
      <c r="JFV94" s="195"/>
      <c r="JFW94" s="195"/>
      <c r="JFX94" s="195"/>
      <c r="JFY94" s="195"/>
      <c r="JFZ94" s="195"/>
      <c r="JGA94" s="195"/>
      <c r="JGB94" s="195"/>
      <c r="JGC94" s="195"/>
      <c r="JGD94" s="195"/>
      <c r="JGE94" s="195"/>
      <c r="JGF94" s="195"/>
      <c r="JGG94" s="195"/>
      <c r="JGH94" s="195"/>
      <c r="JGI94" s="195"/>
      <c r="JGJ94" s="195"/>
      <c r="JGK94" s="195"/>
      <c r="JGL94" s="195"/>
      <c r="JGM94" s="195"/>
      <c r="JGN94" s="195"/>
      <c r="JGO94" s="195"/>
      <c r="JGP94" s="195"/>
      <c r="JGQ94" s="195"/>
      <c r="JGR94" s="195"/>
      <c r="JGS94" s="195"/>
      <c r="JGT94" s="195"/>
      <c r="JGU94" s="195"/>
      <c r="JGV94" s="195"/>
      <c r="JGW94" s="195"/>
      <c r="JGX94" s="195"/>
      <c r="JGY94" s="195"/>
      <c r="JGZ94" s="195"/>
      <c r="JHA94" s="195"/>
      <c r="JHB94" s="195"/>
      <c r="JHC94" s="195"/>
      <c r="JHD94" s="195"/>
      <c r="JHE94" s="195"/>
      <c r="JHF94" s="195"/>
      <c r="JHG94" s="195"/>
      <c r="JHH94" s="195"/>
      <c r="JHI94" s="195"/>
      <c r="JHJ94" s="195"/>
      <c r="JHK94" s="195"/>
      <c r="JHL94" s="195"/>
      <c r="JHM94" s="195"/>
      <c r="JHN94" s="195"/>
      <c r="JHO94" s="195"/>
      <c r="JHP94" s="195"/>
      <c r="JHQ94" s="195"/>
      <c r="JHR94" s="195"/>
      <c r="JHS94" s="195"/>
      <c r="JHT94" s="195"/>
      <c r="JHU94" s="195"/>
      <c r="JHV94" s="195"/>
      <c r="JHW94" s="195"/>
      <c r="JHX94" s="195"/>
      <c r="JHY94" s="195"/>
      <c r="JHZ94" s="195"/>
      <c r="JIA94" s="195"/>
      <c r="JIB94" s="195"/>
      <c r="JIC94" s="195"/>
      <c r="JID94" s="195"/>
      <c r="JIE94" s="195"/>
      <c r="JIF94" s="195"/>
      <c r="JIG94" s="195"/>
      <c r="JIH94" s="195"/>
      <c r="JII94" s="195"/>
      <c r="JIJ94" s="195"/>
      <c r="JIK94" s="195"/>
      <c r="JIL94" s="195"/>
      <c r="JIM94" s="195"/>
      <c r="JIN94" s="195"/>
      <c r="JIO94" s="195"/>
      <c r="JIP94" s="195"/>
      <c r="JIQ94" s="195"/>
      <c r="JIR94" s="195"/>
      <c r="JIS94" s="195"/>
      <c r="JIT94" s="195"/>
      <c r="JIU94" s="195"/>
      <c r="JIV94" s="195"/>
      <c r="JIW94" s="195"/>
      <c r="JIX94" s="195"/>
      <c r="JIY94" s="195"/>
      <c r="JIZ94" s="195"/>
      <c r="JJA94" s="195"/>
      <c r="JJB94" s="195"/>
      <c r="JJC94" s="195"/>
      <c r="JJD94" s="195"/>
      <c r="JJE94" s="195"/>
      <c r="JJF94" s="195"/>
      <c r="JJG94" s="195"/>
      <c r="JJH94" s="195"/>
      <c r="JJI94" s="195"/>
      <c r="JJJ94" s="195"/>
      <c r="JJK94" s="195"/>
      <c r="JJL94" s="195"/>
      <c r="JJM94" s="195"/>
      <c r="JJN94" s="195"/>
      <c r="JJO94" s="195"/>
      <c r="JJP94" s="195"/>
      <c r="JJQ94" s="195"/>
      <c r="JJR94" s="195"/>
      <c r="JJS94" s="195"/>
      <c r="JJT94" s="195"/>
      <c r="JJU94" s="195"/>
      <c r="JJV94" s="195"/>
      <c r="JJW94" s="195"/>
      <c r="JJX94" s="195"/>
      <c r="JJY94" s="195"/>
      <c r="JJZ94" s="195"/>
      <c r="JKA94" s="195"/>
      <c r="JKB94" s="195"/>
      <c r="JKC94" s="195"/>
      <c r="JKD94" s="195"/>
      <c r="JKE94" s="195"/>
      <c r="JKF94" s="195"/>
      <c r="JKG94" s="195"/>
      <c r="JKH94" s="195"/>
      <c r="JKI94" s="195"/>
      <c r="JKJ94" s="195"/>
      <c r="JKK94" s="195"/>
      <c r="JKL94" s="195"/>
      <c r="JKM94" s="195"/>
      <c r="JKN94" s="195"/>
      <c r="JKO94" s="195"/>
      <c r="JKP94" s="195"/>
      <c r="JKQ94" s="195"/>
      <c r="JKR94" s="195"/>
      <c r="JKS94" s="195"/>
      <c r="JKT94" s="195"/>
      <c r="JKU94" s="195"/>
      <c r="JKV94" s="195"/>
      <c r="JKW94" s="195"/>
      <c r="JKX94" s="195"/>
      <c r="JKY94" s="195"/>
      <c r="JKZ94" s="195"/>
      <c r="JLA94" s="195"/>
      <c r="JLB94" s="195"/>
      <c r="JLC94" s="195"/>
      <c r="JLD94" s="195"/>
      <c r="JLE94" s="195"/>
      <c r="JLF94" s="195"/>
      <c r="JLG94" s="195"/>
      <c r="JLH94" s="195"/>
      <c r="JLI94" s="195"/>
      <c r="JLJ94" s="195"/>
      <c r="JLK94" s="195"/>
      <c r="JLL94" s="195"/>
      <c r="JLM94" s="195"/>
      <c r="JLN94" s="195"/>
      <c r="JLO94" s="195"/>
      <c r="JLP94" s="195"/>
      <c r="JLQ94" s="195"/>
      <c r="JLR94" s="195"/>
      <c r="JLS94" s="195"/>
      <c r="JLT94" s="195"/>
      <c r="JLU94" s="195"/>
      <c r="JLV94" s="195"/>
      <c r="JLW94" s="195"/>
      <c r="JLX94" s="195"/>
      <c r="JLY94" s="195"/>
      <c r="JLZ94" s="195"/>
      <c r="JMA94" s="195"/>
      <c r="JMB94" s="195"/>
      <c r="JMC94" s="195"/>
      <c r="JMD94" s="195"/>
      <c r="JME94" s="195"/>
      <c r="JMF94" s="195"/>
      <c r="JMG94" s="195"/>
      <c r="JMH94" s="195"/>
      <c r="JMI94" s="195"/>
      <c r="JMJ94" s="195"/>
      <c r="JMK94" s="195"/>
      <c r="JML94" s="195"/>
      <c r="JMM94" s="195"/>
      <c r="JMN94" s="195"/>
      <c r="JMO94" s="195"/>
      <c r="JMP94" s="195"/>
      <c r="JMQ94" s="195"/>
      <c r="JMR94" s="195"/>
      <c r="JMS94" s="195"/>
      <c r="JMT94" s="195"/>
      <c r="JMU94" s="195"/>
      <c r="JMV94" s="195"/>
      <c r="JMW94" s="195"/>
      <c r="JMX94" s="195"/>
      <c r="JMY94" s="195"/>
      <c r="JMZ94" s="195"/>
      <c r="JNA94" s="195"/>
      <c r="JNB94" s="195"/>
      <c r="JNC94" s="195"/>
      <c r="JND94" s="195"/>
      <c r="JNE94" s="195"/>
      <c r="JNF94" s="195"/>
      <c r="JNG94" s="195"/>
      <c r="JNH94" s="195"/>
      <c r="JNI94" s="195"/>
      <c r="JNJ94" s="195"/>
      <c r="JNK94" s="195"/>
      <c r="JNL94" s="195"/>
      <c r="JNM94" s="195"/>
      <c r="JNN94" s="195"/>
      <c r="JNO94" s="195"/>
      <c r="JNP94" s="195"/>
      <c r="JNQ94" s="195"/>
      <c r="JNR94" s="195"/>
      <c r="JNS94" s="195"/>
      <c r="JNT94" s="195"/>
      <c r="JNU94" s="195"/>
      <c r="JNV94" s="195"/>
      <c r="JNW94" s="195"/>
      <c r="JNX94" s="195"/>
      <c r="JNY94" s="195"/>
      <c r="JNZ94" s="195"/>
      <c r="JOA94" s="195"/>
      <c r="JOB94" s="195"/>
      <c r="JOC94" s="195"/>
      <c r="JOD94" s="195"/>
      <c r="JOE94" s="195"/>
      <c r="JOF94" s="195"/>
      <c r="JOG94" s="195"/>
      <c r="JOH94" s="195"/>
      <c r="JOI94" s="195"/>
      <c r="JOJ94" s="195"/>
      <c r="JOK94" s="195"/>
      <c r="JOL94" s="195"/>
      <c r="JOM94" s="195"/>
      <c r="JON94" s="195"/>
      <c r="JOO94" s="195"/>
      <c r="JOP94" s="195"/>
      <c r="JOQ94" s="195"/>
      <c r="JOR94" s="195"/>
      <c r="JOS94" s="195"/>
      <c r="JOT94" s="195"/>
      <c r="JOU94" s="195"/>
      <c r="JOV94" s="195"/>
      <c r="JOW94" s="195"/>
      <c r="JOX94" s="195"/>
      <c r="JOY94" s="195"/>
      <c r="JOZ94" s="195"/>
      <c r="JPA94" s="195"/>
      <c r="JPB94" s="195"/>
      <c r="JPC94" s="195"/>
      <c r="JPD94" s="195"/>
      <c r="JPE94" s="195"/>
      <c r="JPF94" s="195"/>
      <c r="JPG94" s="195"/>
      <c r="JPH94" s="195"/>
      <c r="JPI94" s="195"/>
      <c r="JPJ94" s="195"/>
      <c r="JPK94" s="195"/>
      <c r="JPL94" s="195"/>
      <c r="JPM94" s="195"/>
      <c r="JPN94" s="195"/>
      <c r="JPO94" s="195"/>
      <c r="JPP94" s="195"/>
      <c r="JPQ94" s="195"/>
      <c r="JPR94" s="195"/>
      <c r="JPS94" s="195"/>
      <c r="JPT94" s="195"/>
      <c r="JPU94" s="195"/>
      <c r="JPV94" s="195"/>
      <c r="JPW94" s="195"/>
      <c r="JPX94" s="195"/>
      <c r="JPY94" s="195"/>
      <c r="JPZ94" s="195"/>
      <c r="JQA94" s="195"/>
      <c r="JQB94" s="195"/>
      <c r="JQC94" s="195"/>
      <c r="JQD94" s="195"/>
      <c r="JQE94" s="195"/>
      <c r="JQF94" s="195"/>
      <c r="JQG94" s="195"/>
      <c r="JQH94" s="195"/>
      <c r="JQI94" s="195"/>
      <c r="JQJ94" s="195"/>
      <c r="JQK94" s="195"/>
      <c r="JQL94" s="195"/>
      <c r="JQM94" s="195"/>
      <c r="JQN94" s="195"/>
      <c r="JQO94" s="195"/>
      <c r="JQP94" s="195"/>
      <c r="JQQ94" s="195"/>
      <c r="JQR94" s="195"/>
      <c r="JQS94" s="195"/>
      <c r="JQT94" s="195"/>
      <c r="JQU94" s="195"/>
      <c r="JQV94" s="195"/>
      <c r="JQW94" s="195"/>
      <c r="JQX94" s="195"/>
      <c r="JQY94" s="195"/>
      <c r="JQZ94" s="195"/>
      <c r="JRA94" s="195"/>
      <c r="JRB94" s="195"/>
      <c r="JRC94" s="195"/>
      <c r="JRD94" s="195"/>
      <c r="JRE94" s="195"/>
      <c r="JRF94" s="195"/>
      <c r="JRG94" s="195"/>
      <c r="JRH94" s="195"/>
      <c r="JRI94" s="195"/>
      <c r="JRJ94" s="195"/>
      <c r="JRK94" s="195"/>
      <c r="JRL94" s="195"/>
      <c r="JRM94" s="195"/>
      <c r="JRN94" s="195"/>
      <c r="JRO94" s="195"/>
      <c r="JRP94" s="195"/>
      <c r="JRQ94" s="195"/>
      <c r="JRR94" s="195"/>
      <c r="JRS94" s="195"/>
      <c r="JRT94" s="195"/>
      <c r="JRU94" s="195"/>
      <c r="JRV94" s="195"/>
      <c r="JRW94" s="195"/>
      <c r="JRX94" s="195"/>
      <c r="JRY94" s="195"/>
      <c r="JRZ94" s="195"/>
      <c r="JSA94" s="195"/>
      <c r="JSB94" s="195"/>
      <c r="JSC94" s="195"/>
      <c r="JSD94" s="195"/>
      <c r="JSE94" s="195"/>
      <c r="JSF94" s="195"/>
      <c r="JSG94" s="195"/>
      <c r="JSH94" s="195"/>
      <c r="JSI94" s="195"/>
      <c r="JSJ94" s="195"/>
      <c r="JSK94" s="195"/>
      <c r="JSL94" s="195"/>
      <c r="JSM94" s="195"/>
      <c r="JSN94" s="195"/>
      <c r="JSO94" s="195"/>
      <c r="JSP94" s="195"/>
      <c r="JSQ94" s="195"/>
      <c r="JSR94" s="195"/>
      <c r="JSS94" s="195"/>
      <c r="JST94" s="195"/>
      <c r="JSU94" s="195"/>
      <c r="JSV94" s="195"/>
      <c r="JSW94" s="195"/>
      <c r="JSX94" s="195"/>
      <c r="JSY94" s="195"/>
      <c r="JSZ94" s="195"/>
      <c r="JTA94" s="195"/>
      <c r="JTB94" s="195"/>
      <c r="JTC94" s="195"/>
      <c r="JTD94" s="195"/>
      <c r="JTE94" s="195"/>
      <c r="JTF94" s="195"/>
      <c r="JTG94" s="195"/>
      <c r="JTH94" s="195"/>
      <c r="JTI94" s="195"/>
      <c r="JTJ94" s="195"/>
      <c r="JTK94" s="195"/>
      <c r="JTL94" s="195"/>
      <c r="JTM94" s="195"/>
      <c r="JTN94" s="195"/>
      <c r="JTO94" s="195"/>
      <c r="JTP94" s="195"/>
      <c r="JTQ94" s="195"/>
      <c r="JTR94" s="195"/>
      <c r="JTS94" s="195"/>
      <c r="JTT94" s="195"/>
      <c r="JTU94" s="195"/>
      <c r="JTV94" s="195"/>
      <c r="JTW94" s="195"/>
      <c r="JTX94" s="195"/>
      <c r="JTY94" s="195"/>
      <c r="JTZ94" s="195"/>
      <c r="JUA94" s="195"/>
      <c r="JUB94" s="195"/>
      <c r="JUC94" s="195"/>
      <c r="JUD94" s="195"/>
      <c r="JUE94" s="195"/>
      <c r="JUF94" s="195"/>
      <c r="JUG94" s="195"/>
      <c r="JUH94" s="195"/>
      <c r="JUI94" s="195"/>
      <c r="JUJ94" s="195"/>
      <c r="JUK94" s="195"/>
      <c r="JUL94" s="195"/>
      <c r="JUM94" s="195"/>
      <c r="JUN94" s="195"/>
      <c r="JUO94" s="195"/>
      <c r="JUP94" s="195"/>
      <c r="JUQ94" s="195"/>
      <c r="JUR94" s="195"/>
      <c r="JUS94" s="195"/>
      <c r="JUT94" s="195"/>
      <c r="JUU94" s="195"/>
      <c r="JUV94" s="195"/>
      <c r="JUW94" s="195"/>
      <c r="JUX94" s="195"/>
      <c r="JUY94" s="195"/>
      <c r="JUZ94" s="195"/>
      <c r="JVA94" s="195"/>
      <c r="JVB94" s="195"/>
      <c r="JVC94" s="195"/>
      <c r="JVD94" s="195"/>
      <c r="JVE94" s="195"/>
      <c r="JVF94" s="195"/>
      <c r="JVG94" s="195"/>
      <c r="JVH94" s="195"/>
      <c r="JVI94" s="195"/>
      <c r="JVJ94" s="195"/>
      <c r="JVK94" s="195"/>
      <c r="JVL94" s="195"/>
      <c r="JVM94" s="195"/>
      <c r="JVN94" s="195"/>
      <c r="JVO94" s="195"/>
      <c r="JVP94" s="195"/>
      <c r="JVQ94" s="195"/>
      <c r="JVR94" s="195"/>
      <c r="JVS94" s="195"/>
      <c r="JVT94" s="195"/>
      <c r="JVU94" s="195"/>
      <c r="JVV94" s="195"/>
      <c r="JVW94" s="195"/>
      <c r="JVX94" s="195"/>
      <c r="JVY94" s="195"/>
      <c r="JVZ94" s="195"/>
      <c r="JWA94" s="195"/>
      <c r="JWB94" s="195"/>
      <c r="JWC94" s="195"/>
      <c r="JWD94" s="195"/>
      <c r="JWE94" s="195"/>
      <c r="JWF94" s="195"/>
      <c r="JWG94" s="195"/>
      <c r="JWH94" s="195"/>
      <c r="JWI94" s="195"/>
      <c r="JWJ94" s="195"/>
      <c r="JWK94" s="195"/>
      <c r="JWL94" s="195"/>
      <c r="JWM94" s="195"/>
      <c r="JWN94" s="195"/>
      <c r="JWO94" s="195"/>
      <c r="JWP94" s="195"/>
      <c r="JWQ94" s="195"/>
      <c r="JWR94" s="195"/>
      <c r="JWS94" s="195"/>
      <c r="JWT94" s="195"/>
      <c r="JWU94" s="195"/>
      <c r="JWV94" s="195"/>
      <c r="JWW94" s="195"/>
      <c r="JWX94" s="195"/>
      <c r="JWY94" s="195"/>
      <c r="JWZ94" s="195"/>
      <c r="JXA94" s="195"/>
      <c r="JXB94" s="195"/>
      <c r="JXC94" s="195"/>
      <c r="JXD94" s="195"/>
      <c r="JXE94" s="195"/>
      <c r="JXF94" s="195"/>
      <c r="JXG94" s="195"/>
      <c r="JXH94" s="195"/>
      <c r="JXI94" s="195"/>
      <c r="JXJ94" s="195"/>
      <c r="JXK94" s="195"/>
      <c r="JXL94" s="195"/>
      <c r="JXM94" s="195"/>
      <c r="JXN94" s="195"/>
      <c r="JXO94" s="195"/>
      <c r="JXP94" s="195"/>
      <c r="JXQ94" s="195"/>
      <c r="JXR94" s="195"/>
      <c r="JXS94" s="195"/>
      <c r="JXT94" s="195"/>
      <c r="JXU94" s="195"/>
      <c r="JXV94" s="195"/>
      <c r="JXW94" s="195"/>
      <c r="JXX94" s="195"/>
      <c r="JXY94" s="195"/>
      <c r="JXZ94" s="195"/>
      <c r="JYA94" s="195"/>
      <c r="JYB94" s="195"/>
      <c r="JYC94" s="195"/>
      <c r="JYD94" s="195"/>
      <c r="JYE94" s="195"/>
      <c r="JYF94" s="195"/>
      <c r="JYG94" s="195"/>
      <c r="JYH94" s="195"/>
      <c r="JYI94" s="195"/>
      <c r="JYJ94" s="195"/>
      <c r="JYK94" s="195"/>
      <c r="JYL94" s="195"/>
      <c r="JYM94" s="195"/>
      <c r="JYN94" s="195"/>
      <c r="JYO94" s="195"/>
      <c r="JYP94" s="195"/>
      <c r="JYQ94" s="195"/>
      <c r="JYR94" s="195"/>
      <c r="JYS94" s="195"/>
      <c r="JYT94" s="195"/>
      <c r="JYU94" s="195"/>
      <c r="JYV94" s="195"/>
      <c r="JYW94" s="195"/>
      <c r="JYX94" s="195"/>
      <c r="JYY94" s="195"/>
      <c r="JYZ94" s="195"/>
      <c r="JZA94" s="195"/>
      <c r="JZB94" s="195"/>
      <c r="JZC94" s="195"/>
      <c r="JZD94" s="195"/>
      <c r="JZE94" s="195"/>
      <c r="JZF94" s="195"/>
      <c r="JZG94" s="195"/>
      <c r="JZH94" s="195"/>
      <c r="JZI94" s="195"/>
      <c r="JZJ94" s="195"/>
      <c r="JZK94" s="195"/>
      <c r="JZL94" s="195"/>
      <c r="JZM94" s="195"/>
      <c r="JZN94" s="195"/>
      <c r="JZO94" s="195"/>
      <c r="JZP94" s="195"/>
      <c r="JZQ94" s="195"/>
      <c r="JZR94" s="195"/>
      <c r="JZS94" s="195"/>
      <c r="JZT94" s="195"/>
      <c r="JZU94" s="195"/>
      <c r="JZV94" s="195"/>
      <c r="JZW94" s="195"/>
      <c r="JZX94" s="195"/>
      <c r="JZY94" s="195"/>
      <c r="JZZ94" s="195"/>
      <c r="KAA94" s="195"/>
      <c r="KAB94" s="195"/>
      <c r="KAC94" s="195"/>
      <c r="KAD94" s="195"/>
      <c r="KAE94" s="195"/>
      <c r="KAF94" s="195"/>
      <c r="KAG94" s="195"/>
      <c r="KAH94" s="195"/>
      <c r="KAI94" s="195"/>
      <c r="KAJ94" s="195"/>
      <c r="KAK94" s="195"/>
      <c r="KAL94" s="195"/>
      <c r="KAM94" s="195"/>
      <c r="KAN94" s="195"/>
      <c r="KAO94" s="195"/>
      <c r="KAP94" s="195"/>
      <c r="KAQ94" s="195"/>
      <c r="KAR94" s="195"/>
      <c r="KAS94" s="195"/>
      <c r="KAT94" s="195"/>
      <c r="KAU94" s="195"/>
      <c r="KAV94" s="195"/>
      <c r="KAW94" s="195"/>
      <c r="KAX94" s="195"/>
      <c r="KAY94" s="195"/>
      <c r="KAZ94" s="195"/>
      <c r="KBA94" s="195"/>
      <c r="KBB94" s="195"/>
      <c r="KBC94" s="195"/>
      <c r="KBD94" s="195"/>
      <c r="KBE94" s="195"/>
      <c r="KBF94" s="195"/>
      <c r="KBG94" s="195"/>
      <c r="KBH94" s="195"/>
      <c r="KBI94" s="195"/>
      <c r="KBJ94" s="195"/>
      <c r="KBK94" s="195"/>
      <c r="KBL94" s="195"/>
      <c r="KBM94" s="195"/>
      <c r="KBN94" s="195"/>
      <c r="KBO94" s="195"/>
      <c r="KBP94" s="195"/>
      <c r="KBQ94" s="195"/>
      <c r="KBR94" s="195"/>
      <c r="KBS94" s="195"/>
      <c r="KBT94" s="195"/>
      <c r="KBU94" s="195"/>
      <c r="KBV94" s="195"/>
      <c r="KBW94" s="195"/>
      <c r="KBX94" s="195"/>
      <c r="KBY94" s="195"/>
      <c r="KBZ94" s="195"/>
      <c r="KCA94" s="195"/>
      <c r="KCB94" s="195"/>
      <c r="KCC94" s="195"/>
      <c r="KCD94" s="195"/>
      <c r="KCE94" s="195"/>
      <c r="KCF94" s="195"/>
      <c r="KCG94" s="195"/>
      <c r="KCH94" s="195"/>
      <c r="KCI94" s="195"/>
      <c r="KCJ94" s="195"/>
      <c r="KCK94" s="195"/>
      <c r="KCL94" s="195"/>
      <c r="KCM94" s="195"/>
      <c r="KCN94" s="195"/>
      <c r="KCO94" s="195"/>
      <c r="KCP94" s="195"/>
      <c r="KCQ94" s="195"/>
      <c r="KCR94" s="195"/>
      <c r="KCS94" s="195"/>
      <c r="KCT94" s="195"/>
      <c r="KCU94" s="195"/>
      <c r="KCV94" s="195"/>
      <c r="KCW94" s="195"/>
      <c r="KCX94" s="195"/>
      <c r="KCY94" s="195"/>
      <c r="KCZ94" s="195"/>
      <c r="KDA94" s="195"/>
      <c r="KDB94" s="195"/>
      <c r="KDC94" s="195"/>
      <c r="KDD94" s="195"/>
      <c r="KDE94" s="195"/>
      <c r="KDF94" s="195"/>
      <c r="KDG94" s="195"/>
      <c r="KDH94" s="195"/>
      <c r="KDI94" s="195"/>
      <c r="KDJ94" s="195"/>
      <c r="KDK94" s="195"/>
      <c r="KDL94" s="195"/>
      <c r="KDM94" s="195"/>
      <c r="KDN94" s="195"/>
      <c r="KDO94" s="195"/>
      <c r="KDP94" s="195"/>
      <c r="KDQ94" s="195"/>
      <c r="KDR94" s="195"/>
      <c r="KDS94" s="195"/>
      <c r="KDT94" s="195"/>
      <c r="KDU94" s="195"/>
      <c r="KDV94" s="195"/>
      <c r="KDW94" s="195"/>
      <c r="KDX94" s="195"/>
      <c r="KDY94" s="195"/>
      <c r="KDZ94" s="195"/>
      <c r="KEA94" s="195"/>
      <c r="KEB94" s="195"/>
      <c r="KEC94" s="195"/>
      <c r="KED94" s="195"/>
      <c r="KEE94" s="195"/>
      <c r="KEF94" s="195"/>
      <c r="KEG94" s="195"/>
      <c r="KEH94" s="195"/>
      <c r="KEI94" s="195"/>
      <c r="KEJ94" s="195"/>
      <c r="KEK94" s="195"/>
      <c r="KEL94" s="195"/>
      <c r="KEM94" s="195"/>
      <c r="KEN94" s="195"/>
      <c r="KEO94" s="195"/>
      <c r="KEP94" s="195"/>
      <c r="KEQ94" s="195"/>
      <c r="KER94" s="195"/>
      <c r="KES94" s="195"/>
      <c r="KET94" s="195"/>
      <c r="KEU94" s="195"/>
      <c r="KEV94" s="195"/>
      <c r="KEW94" s="195"/>
      <c r="KEX94" s="195"/>
      <c r="KEY94" s="195"/>
      <c r="KEZ94" s="195"/>
      <c r="KFA94" s="195"/>
      <c r="KFB94" s="195"/>
      <c r="KFC94" s="195"/>
      <c r="KFD94" s="195"/>
      <c r="KFE94" s="195"/>
      <c r="KFF94" s="195"/>
      <c r="KFG94" s="195"/>
      <c r="KFH94" s="195"/>
      <c r="KFI94" s="195"/>
      <c r="KFJ94" s="195"/>
      <c r="KFK94" s="195"/>
      <c r="KFL94" s="195"/>
      <c r="KFM94" s="195"/>
      <c r="KFN94" s="195"/>
      <c r="KFO94" s="195"/>
      <c r="KFP94" s="195"/>
      <c r="KFQ94" s="195"/>
      <c r="KFR94" s="195"/>
      <c r="KFS94" s="195"/>
      <c r="KFT94" s="195"/>
      <c r="KFU94" s="195"/>
      <c r="KFV94" s="195"/>
      <c r="KFW94" s="195"/>
      <c r="KFX94" s="195"/>
      <c r="KFY94" s="195"/>
      <c r="KFZ94" s="195"/>
      <c r="KGA94" s="195"/>
      <c r="KGB94" s="195"/>
      <c r="KGC94" s="195"/>
      <c r="KGD94" s="195"/>
      <c r="KGE94" s="195"/>
      <c r="KGF94" s="195"/>
      <c r="KGG94" s="195"/>
      <c r="KGH94" s="195"/>
      <c r="KGI94" s="195"/>
      <c r="KGJ94" s="195"/>
      <c r="KGK94" s="195"/>
      <c r="KGL94" s="195"/>
      <c r="KGM94" s="195"/>
      <c r="KGN94" s="195"/>
      <c r="KGO94" s="195"/>
      <c r="KGP94" s="195"/>
      <c r="KGQ94" s="195"/>
      <c r="KGR94" s="195"/>
      <c r="KGS94" s="195"/>
      <c r="KGT94" s="195"/>
      <c r="KGU94" s="195"/>
      <c r="KGV94" s="195"/>
      <c r="KGW94" s="195"/>
      <c r="KGX94" s="195"/>
      <c r="KGY94" s="195"/>
      <c r="KGZ94" s="195"/>
      <c r="KHA94" s="195"/>
      <c r="KHB94" s="195"/>
      <c r="KHC94" s="195"/>
      <c r="KHD94" s="195"/>
      <c r="KHE94" s="195"/>
      <c r="KHF94" s="195"/>
      <c r="KHG94" s="195"/>
      <c r="KHH94" s="195"/>
      <c r="KHI94" s="195"/>
      <c r="KHJ94" s="195"/>
      <c r="KHK94" s="195"/>
      <c r="KHL94" s="195"/>
      <c r="KHM94" s="195"/>
      <c r="KHN94" s="195"/>
      <c r="KHO94" s="195"/>
      <c r="KHP94" s="195"/>
      <c r="KHQ94" s="195"/>
      <c r="KHR94" s="195"/>
      <c r="KHS94" s="195"/>
      <c r="KHT94" s="195"/>
      <c r="KHU94" s="195"/>
      <c r="KHV94" s="195"/>
      <c r="KHW94" s="195"/>
      <c r="KHX94" s="195"/>
      <c r="KHY94" s="195"/>
      <c r="KHZ94" s="195"/>
      <c r="KIA94" s="195"/>
      <c r="KIB94" s="195"/>
      <c r="KIC94" s="195"/>
      <c r="KID94" s="195"/>
      <c r="KIE94" s="195"/>
      <c r="KIF94" s="195"/>
      <c r="KIG94" s="195"/>
      <c r="KIH94" s="195"/>
      <c r="KII94" s="195"/>
      <c r="KIJ94" s="195"/>
      <c r="KIK94" s="195"/>
      <c r="KIL94" s="195"/>
      <c r="KIM94" s="195"/>
      <c r="KIN94" s="195"/>
      <c r="KIO94" s="195"/>
      <c r="KIP94" s="195"/>
      <c r="KIQ94" s="195"/>
      <c r="KIR94" s="195"/>
      <c r="KIS94" s="195"/>
      <c r="KIT94" s="195"/>
      <c r="KIU94" s="195"/>
      <c r="KIV94" s="195"/>
      <c r="KIW94" s="195"/>
      <c r="KIX94" s="195"/>
      <c r="KIY94" s="195"/>
      <c r="KIZ94" s="195"/>
      <c r="KJA94" s="195"/>
      <c r="KJB94" s="195"/>
      <c r="KJC94" s="195"/>
      <c r="KJD94" s="195"/>
      <c r="KJE94" s="195"/>
      <c r="KJF94" s="195"/>
      <c r="KJG94" s="195"/>
      <c r="KJH94" s="195"/>
      <c r="KJI94" s="195"/>
      <c r="KJJ94" s="195"/>
      <c r="KJK94" s="195"/>
      <c r="KJL94" s="195"/>
      <c r="KJM94" s="195"/>
      <c r="KJN94" s="195"/>
      <c r="KJO94" s="195"/>
      <c r="KJP94" s="195"/>
      <c r="KJQ94" s="195"/>
      <c r="KJR94" s="195"/>
      <c r="KJS94" s="195"/>
      <c r="KJT94" s="195"/>
      <c r="KJU94" s="195"/>
      <c r="KJV94" s="195"/>
      <c r="KJW94" s="195"/>
      <c r="KJX94" s="195"/>
      <c r="KJY94" s="195"/>
      <c r="KJZ94" s="195"/>
      <c r="KKA94" s="195"/>
      <c r="KKB94" s="195"/>
      <c r="KKC94" s="195"/>
      <c r="KKD94" s="195"/>
      <c r="KKE94" s="195"/>
      <c r="KKF94" s="195"/>
      <c r="KKG94" s="195"/>
      <c r="KKH94" s="195"/>
      <c r="KKI94" s="195"/>
      <c r="KKJ94" s="195"/>
      <c r="KKK94" s="195"/>
      <c r="KKL94" s="195"/>
      <c r="KKM94" s="195"/>
      <c r="KKN94" s="195"/>
      <c r="KKO94" s="195"/>
      <c r="KKP94" s="195"/>
      <c r="KKQ94" s="195"/>
      <c r="KKR94" s="195"/>
      <c r="KKS94" s="195"/>
      <c r="KKT94" s="195"/>
      <c r="KKU94" s="195"/>
      <c r="KKV94" s="195"/>
      <c r="KKW94" s="195"/>
      <c r="KKX94" s="195"/>
      <c r="KKY94" s="195"/>
      <c r="KKZ94" s="195"/>
      <c r="KLA94" s="195"/>
      <c r="KLB94" s="195"/>
      <c r="KLC94" s="195"/>
      <c r="KLD94" s="195"/>
      <c r="KLE94" s="195"/>
      <c r="KLF94" s="195"/>
      <c r="KLG94" s="195"/>
      <c r="KLH94" s="195"/>
      <c r="KLI94" s="195"/>
      <c r="KLJ94" s="195"/>
      <c r="KLK94" s="195"/>
      <c r="KLL94" s="195"/>
      <c r="KLM94" s="195"/>
      <c r="KLN94" s="195"/>
      <c r="KLO94" s="195"/>
      <c r="KLP94" s="195"/>
      <c r="KLQ94" s="195"/>
      <c r="KLR94" s="195"/>
      <c r="KLS94" s="195"/>
      <c r="KLT94" s="195"/>
      <c r="KLU94" s="195"/>
      <c r="KLV94" s="195"/>
      <c r="KLW94" s="195"/>
      <c r="KLX94" s="195"/>
      <c r="KLY94" s="195"/>
      <c r="KLZ94" s="195"/>
      <c r="KMA94" s="195"/>
      <c r="KMB94" s="195"/>
      <c r="KMC94" s="195"/>
      <c r="KMD94" s="195"/>
      <c r="KME94" s="195"/>
      <c r="KMF94" s="195"/>
      <c r="KMG94" s="195"/>
      <c r="KMH94" s="195"/>
      <c r="KMI94" s="195"/>
      <c r="KMJ94" s="195"/>
      <c r="KMK94" s="195"/>
      <c r="KML94" s="195"/>
      <c r="KMM94" s="195"/>
      <c r="KMN94" s="195"/>
      <c r="KMO94" s="195"/>
      <c r="KMP94" s="195"/>
      <c r="KMQ94" s="195"/>
      <c r="KMR94" s="195"/>
      <c r="KMS94" s="195"/>
      <c r="KMT94" s="195"/>
      <c r="KMU94" s="195"/>
      <c r="KMV94" s="195"/>
      <c r="KMW94" s="195"/>
      <c r="KMX94" s="195"/>
      <c r="KMY94" s="195"/>
      <c r="KMZ94" s="195"/>
      <c r="KNA94" s="195"/>
      <c r="KNB94" s="195"/>
      <c r="KNC94" s="195"/>
      <c r="KND94" s="195"/>
      <c r="KNE94" s="195"/>
      <c r="KNF94" s="195"/>
      <c r="KNG94" s="195"/>
      <c r="KNH94" s="195"/>
      <c r="KNI94" s="195"/>
      <c r="KNJ94" s="195"/>
      <c r="KNK94" s="195"/>
      <c r="KNL94" s="195"/>
      <c r="KNM94" s="195"/>
      <c r="KNN94" s="195"/>
      <c r="KNO94" s="195"/>
      <c r="KNP94" s="195"/>
      <c r="KNQ94" s="195"/>
      <c r="KNR94" s="195"/>
      <c r="KNS94" s="195"/>
      <c r="KNT94" s="195"/>
      <c r="KNU94" s="195"/>
      <c r="KNV94" s="195"/>
      <c r="KNW94" s="195"/>
      <c r="KNX94" s="195"/>
      <c r="KNY94" s="195"/>
      <c r="KNZ94" s="195"/>
      <c r="KOA94" s="195"/>
      <c r="KOB94" s="195"/>
      <c r="KOC94" s="195"/>
      <c r="KOD94" s="195"/>
      <c r="KOE94" s="195"/>
      <c r="KOF94" s="195"/>
      <c r="KOG94" s="195"/>
      <c r="KOH94" s="195"/>
      <c r="KOI94" s="195"/>
      <c r="KOJ94" s="195"/>
      <c r="KOK94" s="195"/>
      <c r="KOL94" s="195"/>
      <c r="KOM94" s="195"/>
      <c r="KON94" s="195"/>
      <c r="KOO94" s="195"/>
      <c r="KOP94" s="195"/>
      <c r="KOQ94" s="195"/>
      <c r="KOR94" s="195"/>
      <c r="KOS94" s="195"/>
      <c r="KOT94" s="195"/>
      <c r="KOU94" s="195"/>
      <c r="KOV94" s="195"/>
      <c r="KOW94" s="195"/>
      <c r="KOX94" s="195"/>
      <c r="KOY94" s="195"/>
      <c r="KOZ94" s="195"/>
      <c r="KPA94" s="195"/>
      <c r="KPB94" s="195"/>
      <c r="KPC94" s="195"/>
      <c r="KPD94" s="195"/>
      <c r="KPE94" s="195"/>
      <c r="KPF94" s="195"/>
      <c r="KPG94" s="195"/>
      <c r="KPH94" s="195"/>
      <c r="KPI94" s="195"/>
      <c r="KPJ94" s="195"/>
      <c r="KPK94" s="195"/>
      <c r="KPL94" s="195"/>
      <c r="KPM94" s="195"/>
      <c r="KPN94" s="195"/>
      <c r="KPO94" s="195"/>
      <c r="KPP94" s="195"/>
      <c r="KPQ94" s="195"/>
      <c r="KPR94" s="195"/>
      <c r="KPS94" s="195"/>
      <c r="KPT94" s="195"/>
      <c r="KPU94" s="195"/>
      <c r="KPV94" s="195"/>
      <c r="KPW94" s="195"/>
      <c r="KPX94" s="195"/>
      <c r="KPY94" s="195"/>
      <c r="KPZ94" s="195"/>
      <c r="KQA94" s="195"/>
      <c r="KQB94" s="195"/>
      <c r="KQC94" s="195"/>
      <c r="KQD94" s="195"/>
      <c r="KQE94" s="195"/>
      <c r="KQF94" s="195"/>
      <c r="KQG94" s="195"/>
      <c r="KQH94" s="195"/>
      <c r="KQI94" s="195"/>
      <c r="KQJ94" s="195"/>
      <c r="KQK94" s="195"/>
      <c r="KQL94" s="195"/>
      <c r="KQM94" s="195"/>
      <c r="KQN94" s="195"/>
      <c r="KQO94" s="195"/>
      <c r="KQP94" s="195"/>
      <c r="KQQ94" s="195"/>
      <c r="KQR94" s="195"/>
      <c r="KQS94" s="195"/>
      <c r="KQT94" s="195"/>
      <c r="KQU94" s="195"/>
      <c r="KQV94" s="195"/>
      <c r="KQW94" s="195"/>
      <c r="KQX94" s="195"/>
      <c r="KQY94" s="195"/>
      <c r="KQZ94" s="195"/>
      <c r="KRA94" s="195"/>
      <c r="KRB94" s="195"/>
      <c r="KRC94" s="195"/>
      <c r="KRD94" s="195"/>
      <c r="KRE94" s="195"/>
      <c r="KRF94" s="195"/>
      <c r="KRG94" s="195"/>
      <c r="KRH94" s="195"/>
      <c r="KRI94" s="195"/>
      <c r="KRJ94" s="195"/>
      <c r="KRK94" s="195"/>
      <c r="KRL94" s="195"/>
      <c r="KRM94" s="195"/>
      <c r="KRN94" s="195"/>
      <c r="KRO94" s="195"/>
      <c r="KRP94" s="195"/>
      <c r="KRQ94" s="195"/>
      <c r="KRR94" s="195"/>
      <c r="KRS94" s="195"/>
      <c r="KRT94" s="195"/>
      <c r="KRU94" s="195"/>
      <c r="KRV94" s="195"/>
      <c r="KRW94" s="195"/>
      <c r="KRX94" s="195"/>
      <c r="KRY94" s="195"/>
      <c r="KRZ94" s="195"/>
      <c r="KSA94" s="195"/>
      <c r="KSB94" s="195"/>
      <c r="KSC94" s="195"/>
      <c r="KSD94" s="195"/>
      <c r="KSE94" s="195"/>
      <c r="KSF94" s="195"/>
      <c r="KSG94" s="195"/>
      <c r="KSH94" s="195"/>
      <c r="KSI94" s="195"/>
      <c r="KSJ94" s="195"/>
      <c r="KSK94" s="195"/>
      <c r="KSL94" s="195"/>
      <c r="KSM94" s="195"/>
      <c r="KSN94" s="195"/>
      <c r="KSO94" s="195"/>
      <c r="KSP94" s="195"/>
      <c r="KSQ94" s="195"/>
      <c r="KSR94" s="195"/>
      <c r="KSS94" s="195"/>
      <c r="KST94" s="195"/>
      <c r="KSU94" s="195"/>
      <c r="KSV94" s="195"/>
      <c r="KSW94" s="195"/>
      <c r="KSX94" s="195"/>
      <c r="KSY94" s="195"/>
      <c r="KSZ94" s="195"/>
      <c r="KTA94" s="195"/>
      <c r="KTB94" s="195"/>
      <c r="KTC94" s="195"/>
      <c r="KTD94" s="195"/>
      <c r="KTE94" s="195"/>
      <c r="KTF94" s="195"/>
      <c r="KTG94" s="195"/>
      <c r="KTH94" s="195"/>
      <c r="KTI94" s="195"/>
      <c r="KTJ94" s="195"/>
      <c r="KTK94" s="195"/>
      <c r="KTL94" s="195"/>
      <c r="KTM94" s="195"/>
      <c r="KTN94" s="195"/>
      <c r="KTO94" s="195"/>
      <c r="KTP94" s="195"/>
      <c r="KTQ94" s="195"/>
      <c r="KTR94" s="195"/>
      <c r="KTS94" s="195"/>
      <c r="KTT94" s="195"/>
      <c r="KTU94" s="195"/>
      <c r="KTV94" s="195"/>
      <c r="KTW94" s="195"/>
      <c r="KTX94" s="195"/>
      <c r="KTY94" s="195"/>
      <c r="KTZ94" s="195"/>
      <c r="KUA94" s="195"/>
      <c r="KUB94" s="195"/>
      <c r="KUC94" s="195"/>
      <c r="KUD94" s="195"/>
      <c r="KUE94" s="195"/>
      <c r="KUF94" s="195"/>
      <c r="KUG94" s="195"/>
      <c r="KUH94" s="195"/>
      <c r="KUI94" s="195"/>
      <c r="KUJ94" s="195"/>
      <c r="KUK94" s="195"/>
      <c r="KUL94" s="195"/>
      <c r="KUM94" s="195"/>
      <c r="KUN94" s="195"/>
      <c r="KUO94" s="195"/>
      <c r="KUP94" s="195"/>
      <c r="KUQ94" s="195"/>
      <c r="KUR94" s="195"/>
      <c r="KUS94" s="195"/>
      <c r="KUT94" s="195"/>
      <c r="KUU94" s="195"/>
      <c r="KUV94" s="195"/>
      <c r="KUW94" s="195"/>
      <c r="KUX94" s="195"/>
      <c r="KUY94" s="195"/>
      <c r="KUZ94" s="195"/>
      <c r="KVA94" s="195"/>
      <c r="KVB94" s="195"/>
      <c r="KVC94" s="195"/>
      <c r="KVD94" s="195"/>
      <c r="KVE94" s="195"/>
      <c r="KVF94" s="195"/>
      <c r="KVG94" s="195"/>
      <c r="KVH94" s="195"/>
      <c r="KVI94" s="195"/>
      <c r="KVJ94" s="195"/>
      <c r="KVK94" s="195"/>
      <c r="KVL94" s="195"/>
      <c r="KVM94" s="195"/>
      <c r="KVN94" s="195"/>
      <c r="KVO94" s="195"/>
      <c r="KVP94" s="195"/>
      <c r="KVQ94" s="195"/>
      <c r="KVR94" s="195"/>
      <c r="KVS94" s="195"/>
      <c r="KVT94" s="195"/>
      <c r="KVU94" s="195"/>
      <c r="KVV94" s="195"/>
      <c r="KVW94" s="195"/>
      <c r="KVX94" s="195"/>
      <c r="KVY94" s="195"/>
      <c r="KVZ94" s="195"/>
      <c r="KWA94" s="195"/>
      <c r="KWB94" s="195"/>
      <c r="KWC94" s="195"/>
      <c r="KWD94" s="195"/>
      <c r="KWE94" s="195"/>
      <c r="KWF94" s="195"/>
      <c r="KWG94" s="195"/>
      <c r="KWH94" s="195"/>
      <c r="KWI94" s="195"/>
      <c r="KWJ94" s="195"/>
      <c r="KWK94" s="195"/>
      <c r="KWL94" s="195"/>
      <c r="KWM94" s="195"/>
      <c r="KWN94" s="195"/>
      <c r="KWO94" s="195"/>
      <c r="KWP94" s="195"/>
      <c r="KWQ94" s="195"/>
      <c r="KWR94" s="195"/>
      <c r="KWS94" s="195"/>
      <c r="KWT94" s="195"/>
      <c r="KWU94" s="195"/>
      <c r="KWV94" s="195"/>
      <c r="KWW94" s="195"/>
      <c r="KWX94" s="195"/>
      <c r="KWY94" s="195"/>
      <c r="KWZ94" s="195"/>
      <c r="KXA94" s="195"/>
      <c r="KXB94" s="195"/>
      <c r="KXC94" s="195"/>
      <c r="KXD94" s="195"/>
      <c r="KXE94" s="195"/>
      <c r="KXF94" s="195"/>
      <c r="KXG94" s="195"/>
      <c r="KXH94" s="195"/>
      <c r="KXI94" s="195"/>
      <c r="KXJ94" s="195"/>
      <c r="KXK94" s="195"/>
      <c r="KXL94" s="195"/>
      <c r="KXM94" s="195"/>
      <c r="KXN94" s="195"/>
      <c r="KXO94" s="195"/>
      <c r="KXP94" s="195"/>
      <c r="KXQ94" s="195"/>
      <c r="KXR94" s="195"/>
      <c r="KXS94" s="195"/>
      <c r="KXT94" s="195"/>
      <c r="KXU94" s="195"/>
      <c r="KXV94" s="195"/>
      <c r="KXW94" s="195"/>
      <c r="KXX94" s="195"/>
      <c r="KXY94" s="195"/>
      <c r="KXZ94" s="195"/>
      <c r="KYA94" s="195"/>
      <c r="KYB94" s="195"/>
      <c r="KYC94" s="195"/>
      <c r="KYD94" s="195"/>
      <c r="KYE94" s="195"/>
      <c r="KYF94" s="195"/>
      <c r="KYG94" s="195"/>
      <c r="KYH94" s="195"/>
      <c r="KYI94" s="195"/>
      <c r="KYJ94" s="195"/>
      <c r="KYK94" s="195"/>
      <c r="KYL94" s="195"/>
      <c r="KYM94" s="195"/>
      <c r="KYN94" s="195"/>
      <c r="KYO94" s="195"/>
      <c r="KYP94" s="195"/>
      <c r="KYQ94" s="195"/>
      <c r="KYR94" s="195"/>
      <c r="KYS94" s="195"/>
      <c r="KYT94" s="195"/>
      <c r="KYU94" s="195"/>
      <c r="KYV94" s="195"/>
      <c r="KYW94" s="195"/>
      <c r="KYX94" s="195"/>
      <c r="KYY94" s="195"/>
      <c r="KYZ94" s="195"/>
      <c r="KZA94" s="195"/>
      <c r="KZB94" s="195"/>
      <c r="KZC94" s="195"/>
      <c r="KZD94" s="195"/>
      <c r="KZE94" s="195"/>
      <c r="KZF94" s="195"/>
      <c r="KZG94" s="195"/>
      <c r="KZH94" s="195"/>
      <c r="KZI94" s="195"/>
      <c r="KZJ94" s="195"/>
      <c r="KZK94" s="195"/>
      <c r="KZL94" s="195"/>
      <c r="KZM94" s="195"/>
      <c r="KZN94" s="195"/>
      <c r="KZO94" s="195"/>
      <c r="KZP94" s="195"/>
      <c r="KZQ94" s="195"/>
      <c r="KZR94" s="195"/>
      <c r="KZS94" s="195"/>
      <c r="KZT94" s="195"/>
      <c r="KZU94" s="195"/>
      <c r="KZV94" s="195"/>
      <c r="KZW94" s="195"/>
      <c r="KZX94" s="195"/>
      <c r="KZY94" s="195"/>
      <c r="KZZ94" s="195"/>
      <c r="LAA94" s="195"/>
      <c r="LAB94" s="195"/>
      <c r="LAC94" s="195"/>
      <c r="LAD94" s="195"/>
      <c r="LAE94" s="195"/>
      <c r="LAF94" s="195"/>
      <c r="LAG94" s="195"/>
      <c r="LAH94" s="195"/>
      <c r="LAI94" s="195"/>
      <c r="LAJ94" s="195"/>
      <c r="LAK94" s="195"/>
      <c r="LAL94" s="195"/>
      <c r="LAM94" s="195"/>
      <c r="LAN94" s="195"/>
      <c r="LAO94" s="195"/>
      <c r="LAP94" s="195"/>
      <c r="LAQ94" s="195"/>
      <c r="LAR94" s="195"/>
      <c r="LAS94" s="195"/>
      <c r="LAT94" s="195"/>
      <c r="LAU94" s="195"/>
      <c r="LAV94" s="195"/>
      <c r="LAW94" s="195"/>
      <c r="LAX94" s="195"/>
      <c r="LAY94" s="195"/>
      <c r="LAZ94" s="195"/>
      <c r="LBA94" s="195"/>
      <c r="LBB94" s="195"/>
      <c r="LBC94" s="195"/>
      <c r="LBD94" s="195"/>
      <c r="LBE94" s="195"/>
      <c r="LBF94" s="195"/>
      <c r="LBG94" s="195"/>
      <c r="LBH94" s="195"/>
      <c r="LBI94" s="195"/>
      <c r="LBJ94" s="195"/>
      <c r="LBK94" s="195"/>
      <c r="LBL94" s="195"/>
      <c r="LBM94" s="195"/>
      <c r="LBN94" s="195"/>
      <c r="LBO94" s="195"/>
      <c r="LBP94" s="195"/>
      <c r="LBQ94" s="195"/>
      <c r="LBR94" s="195"/>
      <c r="LBS94" s="195"/>
      <c r="LBT94" s="195"/>
      <c r="LBU94" s="195"/>
      <c r="LBV94" s="195"/>
      <c r="LBW94" s="195"/>
      <c r="LBX94" s="195"/>
      <c r="LBY94" s="195"/>
      <c r="LBZ94" s="195"/>
      <c r="LCA94" s="195"/>
      <c r="LCB94" s="195"/>
      <c r="LCC94" s="195"/>
      <c r="LCD94" s="195"/>
      <c r="LCE94" s="195"/>
      <c r="LCF94" s="195"/>
      <c r="LCG94" s="195"/>
      <c r="LCH94" s="195"/>
      <c r="LCI94" s="195"/>
      <c r="LCJ94" s="195"/>
      <c r="LCK94" s="195"/>
      <c r="LCL94" s="195"/>
      <c r="LCM94" s="195"/>
      <c r="LCN94" s="195"/>
      <c r="LCO94" s="195"/>
      <c r="LCP94" s="195"/>
      <c r="LCQ94" s="195"/>
      <c r="LCR94" s="195"/>
      <c r="LCS94" s="195"/>
      <c r="LCT94" s="195"/>
      <c r="LCU94" s="195"/>
      <c r="LCV94" s="195"/>
      <c r="LCW94" s="195"/>
      <c r="LCX94" s="195"/>
      <c r="LCY94" s="195"/>
      <c r="LCZ94" s="195"/>
      <c r="LDA94" s="195"/>
      <c r="LDB94" s="195"/>
      <c r="LDC94" s="195"/>
      <c r="LDD94" s="195"/>
      <c r="LDE94" s="195"/>
      <c r="LDF94" s="195"/>
      <c r="LDG94" s="195"/>
      <c r="LDH94" s="195"/>
      <c r="LDI94" s="195"/>
      <c r="LDJ94" s="195"/>
      <c r="LDK94" s="195"/>
      <c r="LDL94" s="195"/>
      <c r="LDM94" s="195"/>
      <c r="LDN94" s="195"/>
      <c r="LDO94" s="195"/>
      <c r="LDP94" s="195"/>
      <c r="LDQ94" s="195"/>
      <c r="LDR94" s="195"/>
      <c r="LDS94" s="195"/>
      <c r="LDT94" s="195"/>
      <c r="LDU94" s="195"/>
      <c r="LDV94" s="195"/>
      <c r="LDW94" s="195"/>
      <c r="LDX94" s="195"/>
      <c r="LDY94" s="195"/>
      <c r="LDZ94" s="195"/>
      <c r="LEA94" s="195"/>
      <c r="LEB94" s="195"/>
      <c r="LEC94" s="195"/>
      <c r="LED94" s="195"/>
      <c r="LEE94" s="195"/>
      <c r="LEF94" s="195"/>
      <c r="LEG94" s="195"/>
      <c r="LEH94" s="195"/>
      <c r="LEI94" s="195"/>
      <c r="LEJ94" s="195"/>
      <c r="LEK94" s="195"/>
      <c r="LEL94" s="195"/>
      <c r="LEM94" s="195"/>
      <c r="LEN94" s="195"/>
      <c r="LEO94" s="195"/>
      <c r="LEP94" s="195"/>
      <c r="LEQ94" s="195"/>
      <c r="LER94" s="195"/>
      <c r="LES94" s="195"/>
      <c r="LET94" s="195"/>
      <c r="LEU94" s="195"/>
      <c r="LEV94" s="195"/>
      <c r="LEW94" s="195"/>
      <c r="LEX94" s="195"/>
      <c r="LEY94" s="195"/>
      <c r="LEZ94" s="195"/>
      <c r="LFA94" s="195"/>
      <c r="LFB94" s="195"/>
      <c r="LFC94" s="195"/>
      <c r="LFD94" s="195"/>
      <c r="LFE94" s="195"/>
      <c r="LFF94" s="195"/>
      <c r="LFG94" s="195"/>
      <c r="LFH94" s="195"/>
      <c r="LFI94" s="195"/>
      <c r="LFJ94" s="195"/>
      <c r="LFK94" s="195"/>
      <c r="LFL94" s="195"/>
      <c r="LFM94" s="195"/>
      <c r="LFN94" s="195"/>
      <c r="LFO94" s="195"/>
      <c r="LFP94" s="195"/>
      <c r="LFQ94" s="195"/>
      <c r="LFR94" s="195"/>
      <c r="LFS94" s="195"/>
      <c r="LFT94" s="195"/>
      <c r="LFU94" s="195"/>
      <c r="LFV94" s="195"/>
      <c r="LFW94" s="195"/>
      <c r="LFX94" s="195"/>
      <c r="LFY94" s="195"/>
      <c r="LFZ94" s="195"/>
      <c r="LGA94" s="195"/>
      <c r="LGB94" s="195"/>
      <c r="LGC94" s="195"/>
      <c r="LGD94" s="195"/>
      <c r="LGE94" s="195"/>
      <c r="LGF94" s="195"/>
      <c r="LGG94" s="195"/>
      <c r="LGH94" s="195"/>
      <c r="LGI94" s="195"/>
      <c r="LGJ94" s="195"/>
      <c r="LGK94" s="195"/>
      <c r="LGL94" s="195"/>
      <c r="LGM94" s="195"/>
      <c r="LGN94" s="195"/>
      <c r="LGO94" s="195"/>
      <c r="LGP94" s="195"/>
      <c r="LGQ94" s="195"/>
      <c r="LGR94" s="195"/>
      <c r="LGS94" s="195"/>
      <c r="LGT94" s="195"/>
      <c r="LGU94" s="195"/>
      <c r="LGV94" s="195"/>
      <c r="LGW94" s="195"/>
      <c r="LGX94" s="195"/>
      <c r="LGY94" s="195"/>
      <c r="LGZ94" s="195"/>
      <c r="LHA94" s="195"/>
      <c r="LHB94" s="195"/>
      <c r="LHC94" s="195"/>
      <c r="LHD94" s="195"/>
      <c r="LHE94" s="195"/>
      <c r="LHF94" s="195"/>
      <c r="LHG94" s="195"/>
      <c r="LHH94" s="195"/>
      <c r="LHI94" s="195"/>
      <c r="LHJ94" s="195"/>
      <c r="LHK94" s="195"/>
      <c r="LHL94" s="195"/>
      <c r="LHM94" s="195"/>
      <c r="LHN94" s="195"/>
      <c r="LHO94" s="195"/>
      <c r="LHP94" s="195"/>
      <c r="LHQ94" s="195"/>
      <c r="LHR94" s="195"/>
      <c r="LHS94" s="195"/>
      <c r="LHT94" s="195"/>
      <c r="LHU94" s="195"/>
      <c r="LHV94" s="195"/>
      <c r="LHW94" s="195"/>
      <c r="LHX94" s="195"/>
      <c r="LHY94" s="195"/>
      <c r="LHZ94" s="195"/>
      <c r="LIA94" s="195"/>
      <c r="LIB94" s="195"/>
      <c r="LIC94" s="195"/>
      <c r="LID94" s="195"/>
      <c r="LIE94" s="195"/>
      <c r="LIF94" s="195"/>
      <c r="LIG94" s="195"/>
      <c r="LIH94" s="195"/>
      <c r="LII94" s="195"/>
      <c r="LIJ94" s="195"/>
      <c r="LIK94" s="195"/>
      <c r="LIL94" s="195"/>
      <c r="LIM94" s="195"/>
      <c r="LIN94" s="195"/>
      <c r="LIO94" s="195"/>
      <c r="LIP94" s="195"/>
      <c r="LIQ94" s="195"/>
      <c r="LIR94" s="195"/>
      <c r="LIS94" s="195"/>
      <c r="LIT94" s="195"/>
      <c r="LIU94" s="195"/>
      <c r="LIV94" s="195"/>
      <c r="LIW94" s="195"/>
      <c r="LIX94" s="195"/>
      <c r="LIY94" s="195"/>
      <c r="LIZ94" s="195"/>
      <c r="LJA94" s="195"/>
      <c r="LJB94" s="195"/>
      <c r="LJC94" s="195"/>
      <c r="LJD94" s="195"/>
      <c r="LJE94" s="195"/>
      <c r="LJF94" s="195"/>
      <c r="LJG94" s="195"/>
      <c r="LJH94" s="195"/>
      <c r="LJI94" s="195"/>
      <c r="LJJ94" s="195"/>
      <c r="LJK94" s="195"/>
      <c r="LJL94" s="195"/>
      <c r="LJM94" s="195"/>
      <c r="LJN94" s="195"/>
      <c r="LJO94" s="195"/>
      <c r="LJP94" s="195"/>
      <c r="LJQ94" s="195"/>
      <c r="LJR94" s="195"/>
      <c r="LJS94" s="195"/>
      <c r="LJT94" s="195"/>
      <c r="LJU94" s="195"/>
      <c r="LJV94" s="195"/>
      <c r="LJW94" s="195"/>
      <c r="LJX94" s="195"/>
      <c r="LJY94" s="195"/>
      <c r="LJZ94" s="195"/>
      <c r="LKA94" s="195"/>
      <c r="LKB94" s="195"/>
      <c r="LKC94" s="195"/>
      <c r="LKD94" s="195"/>
      <c r="LKE94" s="195"/>
      <c r="LKF94" s="195"/>
      <c r="LKG94" s="195"/>
      <c r="LKH94" s="195"/>
      <c r="LKI94" s="195"/>
      <c r="LKJ94" s="195"/>
      <c r="LKK94" s="195"/>
      <c r="LKL94" s="195"/>
      <c r="LKM94" s="195"/>
      <c r="LKN94" s="195"/>
      <c r="LKO94" s="195"/>
      <c r="LKP94" s="195"/>
      <c r="LKQ94" s="195"/>
      <c r="LKR94" s="195"/>
      <c r="LKS94" s="195"/>
      <c r="LKT94" s="195"/>
      <c r="LKU94" s="195"/>
      <c r="LKV94" s="195"/>
      <c r="LKW94" s="195"/>
      <c r="LKX94" s="195"/>
      <c r="LKY94" s="195"/>
      <c r="LKZ94" s="195"/>
      <c r="LLA94" s="195"/>
      <c r="LLB94" s="195"/>
      <c r="LLC94" s="195"/>
      <c r="LLD94" s="195"/>
      <c r="LLE94" s="195"/>
      <c r="LLF94" s="195"/>
      <c r="LLG94" s="195"/>
      <c r="LLH94" s="195"/>
      <c r="LLI94" s="195"/>
      <c r="LLJ94" s="195"/>
      <c r="LLK94" s="195"/>
      <c r="LLL94" s="195"/>
      <c r="LLM94" s="195"/>
      <c r="LLN94" s="195"/>
      <c r="LLO94" s="195"/>
      <c r="LLP94" s="195"/>
      <c r="LLQ94" s="195"/>
      <c r="LLR94" s="195"/>
      <c r="LLS94" s="195"/>
      <c r="LLT94" s="195"/>
      <c r="LLU94" s="195"/>
      <c r="LLV94" s="195"/>
      <c r="LLW94" s="195"/>
      <c r="LLX94" s="195"/>
      <c r="LLY94" s="195"/>
      <c r="LLZ94" s="195"/>
      <c r="LMA94" s="195"/>
      <c r="LMB94" s="195"/>
      <c r="LMC94" s="195"/>
      <c r="LMD94" s="195"/>
      <c r="LME94" s="195"/>
      <c r="LMF94" s="195"/>
      <c r="LMG94" s="195"/>
      <c r="LMH94" s="195"/>
      <c r="LMI94" s="195"/>
      <c r="LMJ94" s="195"/>
      <c r="LMK94" s="195"/>
      <c r="LML94" s="195"/>
      <c r="LMM94" s="195"/>
      <c r="LMN94" s="195"/>
      <c r="LMO94" s="195"/>
      <c r="LMP94" s="195"/>
      <c r="LMQ94" s="195"/>
      <c r="LMR94" s="195"/>
      <c r="LMS94" s="195"/>
      <c r="LMT94" s="195"/>
      <c r="LMU94" s="195"/>
      <c r="LMV94" s="195"/>
      <c r="LMW94" s="195"/>
      <c r="LMX94" s="195"/>
      <c r="LMY94" s="195"/>
      <c r="LMZ94" s="195"/>
      <c r="LNA94" s="195"/>
      <c r="LNB94" s="195"/>
      <c r="LNC94" s="195"/>
      <c r="LND94" s="195"/>
      <c r="LNE94" s="195"/>
      <c r="LNF94" s="195"/>
      <c r="LNG94" s="195"/>
      <c r="LNH94" s="195"/>
      <c r="LNI94" s="195"/>
      <c r="LNJ94" s="195"/>
      <c r="LNK94" s="195"/>
      <c r="LNL94" s="195"/>
      <c r="LNM94" s="195"/>
      <c r="LNN94" s="195"/>
      <c r="LNO94" s="195"/>
      <c r="LNP94" s="195"/>
      <c r="LNQ94" s="195"/>
      <c r="LNR94" s="195"/>
      <c r="LNS94" s="195"/>
      <c r="LNT94" s="195"/>
      <c r="LNU94" s="195"/>
      <c r="LNV94" s="195"/>
      <c r="LNW94" s="195"/>
      <c r="LNX94" s="195"/>
      <c r="LNY94" s="195"/>
      <c r="LNZ94" s="195"/>
      <c r="LOA94" s="195"/>
      <c r="LOB94" s="195"/>
      <c r="LOC94" s="195"/>
      <c r="LOD94" s="195"/>
      <c r="LOE94" s="195"/>
      <c r="LOF94" s="195"/>
      <c r="LOG94" s="195"/>
      <c r="LOH94" s="195"/>
      <c r="LOI94" s="195"/>
      <c r="LOJ94" s="195"/>
      <c r="LOK94" s="195"/>
      <c r="LOL94" s="195"/>
      <c r="LOM94" s="195"/>
      <c r="LON94" s="195"/>
      <c r="LOO94" s="195"/>
      <c r="LOP94" s="195"/>
      <c r="LOQ94" s="195"/>
      <c r="LOR94" s="195"/>
      <c r="LOS94" s="195"/>
      <c r="LOT94" s="195"/>
      <c r="LOU94" s="195"/>
      <c r="LOV94" s="195"/>
      <c r="LOW94" s="195"/>
      <c r="LOX94" s="195"/>
      <c r="LOY94" s="195"/>
      <c r="LOZ94" s="195"/>
      <c r="LPA94" s="195"/>
      <c r="LPB94" s="195"/>
      <c r="LPC94" s="195"/>
      <c r="LPD94" s="195"/>
      <c r="LPE94" s="195"/>
      <c r="LPF94" s="195"/>
      <c r="LPG94" s="195"/>
      <c r="LPH94" s="195"/>
      <c r="LPI94" s="195"/>
      <c r="LPJ94" s="195"/>
      <c r="LPK94" s="195"/>
      <c r="LPL94" s="195"/>
      <c r="LPM94" s="195"/>
      <c r="LPN94" s="195"/>
      <c r="LPO94" s="195"/>
      <c r="LPP94" s="195"/>
      <c r="LPQ94" s="195"/>
      <c r="LPR94" s="195"/>
      <c r="LPS94" s="195"/>
      <c r="LPT94" s="195"/>
      <c r="LPU94" s="195"/>
      <c r="LPV94" s="195"/>
      <c r="LPW94" s="195"/>
      <c r="LPX94" s="195"/>
      <c r="LPY94" s="195"/>
      <c r="LPZ94" s="195"/>
      <c r="LQA94" s="195"/>
      <c r="LQB94" s="195"/>
      <c r="LQC94" s="195"/>
      <c r="LQD94" s="195"/>
      <c r="LQE94" s="195"/>
      <c r="LQF94" s="195"/>
      <c r="LQG94" s="195"/>
      <c r="LQH94" s="195"/>
      <c r="LQI94" s="195"/>
      <c r="LQJ94" s="195"/>
      <c r="LQK94" s="195"/>
      <c r="LQL94" s="195"/>
      <c r="LQM94" s="195"/>
      <c r="LQN94" s="195"/>
      <c r="LQO94" s="195"/>
      <c r="LQP94" s="195"/>
      <c r="LQQ94" s="195"/>
      <c r="LQR94" s="195"/>
      <c r="LQS94" s="195"/>
      <c r="LQT94" s="195"/>
      <c r="LQU94" s="195"/>
      <c r="LQV94" s="195"/>
      <c r="LQW94" s="195"/>
      <c r="LQX94" s="195"/>
      <c r="LQY94" s="195"/>
      <c r="LQZ94" s="195"/>
      <c r="LRA94" s="195"/>
      <c r="LRB94" s="195"/>
      <c r="LRC94" s="195"/>
      <c r="LRD94" s="195"/>
      <c r="LRE94" s="195"/>
      <c r="LRF94" s="195"/>
      <c r="LRG94" s="195"/>
      <c r="LRH94" s="195"/>
      <c r="LRI94" s="195"/>
      <c r="LRJ94" s="195"/>
      <c r="LRK94" s="195"/>
      <c r="LRL94" s="195"/>
      <c r="LRM94" s="195"/>
      <c r="LRN94" s="195"/>
      <c r="LRO94" s="195"/>
      <c r="LRP94" s="195"/>
      <c r="LRQ94" s="195"/>
      <c r="LRR94" s="195"/>
      <c r="LRS94" s="195"/>
      <c r="LRT94" s="195"/>
      <c r="LRU94" s="195"/>
      <c r="LRV94" s="195"/>
      <c r="LRW94" s="195"/>
      <c r="LRX94" s="195"/>
      <c r="LRY94" s="195"/>
      <c r="LRZ94" s="195"/>
      <c r="LSA94" s="195"/>
      <c r="LSB94" s="195"/>
      <c r="LSC94" s="195"/>
      <c r="LSD94" s="195"/>
      <c r="LSE94" s="195"/>
      <c r="LSF94" s="195"/>
      <c r="LSG94" s="195"/>
      <c r="LSH94" s="195"/>
      <c r="LSI94" s="195"/>
      <c r="LSJ94" s="195"/>
      <c r="LSK94" s="195"/>
      <c r="LSL94" s="195"/>
      <c r="LSM94" s="195"/>
      <c r="LSN94" s="195"/>
      <c r="LSO94" s="195"/>
      <c r="LSP94" s="195"/>
      <c r="LSQ94" s="195"/>
      <c r="LSR94" s="195"/>
      <c r="LSS94" s="195"/>
      <c r="LST94" s="195"/>
      <c r="LSU94" s="195"/>
      <c r="LSV94" s="195"/>
      <c r="LSW94" s="195"/>
      <c r="LSX94" s="195"/>
      <c r="LSY94" s="195"/>
      <c r="LSZ94" s="195"/>
      <c r="LTA94" s="195"/>
      <c r="LTB94" s="195"/>
      <c r="LTC94" s="195"/>
      <c r="LTD94" s="195"/>
      <c r="LTE94" s="195"/>
      <c r="LTF94" s="195"/>
      <c r="LTG94" s="195"/>
      <c r="LTH94" s="195"/>
      <c r="LTI94" s="195"/>
      <c r="LTJ94" s="195"/>
      <c r="LTK94" s="195"/>
      <c r="LTL94" s="195"/>
      <c r="LTM94" s="195"/>
      <c r="LTN94" s="195"/>
      <c r="LTO94" s="195"/>
      <c r="LTP94" s="195"/>
      <c r="LTQ94" s="195"/>
      <c r="LTR94" s="195"/>
      <c r="LTS94" s="195"/>
      <c r="LTT94" s="195"/>
      <c r="LTU94" s="195"/>
      <c r="LTV94" s="195"/>
      <c r="LTW94" s="195"/>
      <c r="LTX94" s="195"/>
      <c r="LTY94" s="195"/>
      <c r="LTZ94" s="195"/>
      <c r="LUA94" s="195"/>
      <c r="LUB94" s="195"/>
      <c r="LUC94" s="195"/>
      <c r="LUD94" s="195"/>
      <c r="LUE94" s="195"/>
      <c r="LUF94" s="195"/>
      <c r="LUG94" s="195"/>
      <c r="LUH94" s="195"/>
      <c r="LUI94" s="195"/>
      <c r="LUJ94" s="195"/>
      <c r="LUK94" s="195"/>
      <c r="LUL94" s="195"/>
      <c r="LUM94" s="195"/>
      <c r="LUN94" s="195"/>
      <c r="LUO94" s="195"/>
      <c r="LUP94" s="195"/>
      <c r="LUQ94" s="195"/>
      <c r="LUR94" s="195"/>
      <c r="LUS94" s="195"/>
      <c r="LUT94" s="195"/>
      <c r="LUU94" s="195"/>
      <c r="LUV94" s="195"/>
      <c r="LUW94" s="195"/>
      <c r="LUX94" s="195"/>
      <c r="LUY94" s="195"/>
      <c r="LUZ94" s="195"/>
      <c r="LVA94" s="195"/>
      <c r="LVB94" s="195"/>
      <c r="LVC94" s="195"/>
      <c r="LVD94" s="195"/>
      <c r="LVE94" s="195"/>
      <c r="LVF94" s="195"/>
      <c r="LVG94" s="195"/>
      <c r="LVH94" s="195"/>
      <c r="LVI94" s="195"/>
      <c r="LVJ94" s="195"/>
      <c r="LVK94" s="195"/>
      <c r="LVL94" s="195"/>
      <c r="LVM94" s="195"/>
      <c r="LVN94" s="195"/>
      <c r="LVO94" s="195"/>
      <c r="LVP94" s="195"/>
      <c r="LVQ94" s="195"/>
      <c r="LVR94" s="195"/>
      <c r="LVS94" s="195"/>
      <c r="LVT94" s="195"/>
      <c r="LVU94" s="195"/>
      <c r="LVV94" s="195"/>
      <c r="LVW94" s="195"/>
      <c r="LVX94" s="195"/>
      <c r="LVY94" s="195"/>
      <c r="LVZ94" s="195"/>
      <c r="LWA94" s="195"/>
      <c r="LWB94" s="195"/>
      <c r="LWC94" s="195"/>
      <c r="LWD94" s="195"/>
      <c r="LWE94" s="195"/>
      <c r="LWF94" s="195"/>
      <c r="LWG94" s="195"/>
      <c r="LWH94" s="195"/>
      <c r="LWI94" s="195"/>
      <c r="LWJ94" s="195"/>
      <c r="LWK94" s="195"/>
      <c r="LWL94" s="195"/>
      <c r="LWM94" s="195"/>
      <c r="LWN94" s="195"/>
      <c r="LWO94" s="195"/>
      <c r="LWP94" s="195"/>
      <c r="LWQ94" s="195"/>
      <c r="LWR94" s="195"/>
      <c r="LWS94" s="195"/>
      <c r="LWT94" s="195"/>
      <c r="LWU94" s="195"/>
      <c r="LWV94" s="195"/>
      <c r="LWW94" s="195"/>
      <c r="LWX94" s="195"/>
      <c r="LWY94" s="195"/>
      <c r="LWZ94" s="195"/>
      <c r="LXA94" s="195"/>
      <c r="LXB94" s="195"/>
      <c r="LXC94" s="195"/>
      <c r="LXD94" s="195"/>
      <c r="LXE94" s="195"/>
      <c r="LXF94" s="195"/>
      <c r="LXG94" s="195"/>
      <c r="LXH94" s="195"/>
      <c r="LXI94" s="195"/>
      <c r="LXJ94" s="195"/>
      <c r="LXK94" s="195"/>
      <c r="LXL94" s="195"/>
      <c r="LXM94" s="195"/>
      <c r="LXN94" s="195"/>
      <c r="LXO94" s="195"/>
      <c r="LXP94" s="195"/>
      <c r="LXQ94" s="195"/>
      <c r="LXR94" s="195"/>
      <c r="LXS94" s="195"/>
      <c r="LXT94" s="195"/>
      <c r="LXU94" s="195"/>
      <c r="LXV94" s="195"/>
      <c r="LXW94" s="195"/>
      <c r="LXX94" s="195"/>
      <c r="LXY94" s="195"/>
      <c r="LXZ94" s="195"/>
      <c r="LYA94" s="195"/>
      <c r="LYB94" s="195"/>
      <c r="LYC94" s="195"/>
      <c r="LYD94" s="195"/>
      <c r="LYE94" s="195"/>
      <c r="LYF94" s="195"/>
      <c r="LYG94" s="195"/>
      <c r="LYH94" s="195"/>
      <c r="LYI94" s="195"/>
      <c r="LYJ94" s="195"/>
      <c r="LYK94" s="195"/>
      <c r="LYL94" s="195"/>
      <c r="LYM94" s="195"/>
      <c r="LYN94" s="195"/>
      <c r="LYO94" s="195"/>
      <c r="LYP94" s="195"/>
      <c r="LYQ94" s="195"/>
      <c r="LYR94" s="195"/>
      <c r="LYS94" s="195"/>
      <c r="LYT94" s="195"/>
      <c r="LYU94" s="195"/>
      <c r="LYV94" s="195"/>
      <c r="LYW94" s="195"/>
      <c r="LYX94" s="195"/>
      <c r="LYY94" s="195"/>
      <c r="LYZ94" s="195"/>
      <c r="LZA94" s="195"/>
      <c r="LZB94" s="195"/>
      <c r="LZC94" s="195"/>
      <c r="LZD94" s="195"/>
      <c r="LZE94" s="195"/>
      <c r="LZF94" s="195"/>
      <c r="LZG94" s="195"/>
      <c r="LZH94" s="195"/>
      <c r="LZI94" s="195"/>
      <c r="LZJ94" s="195"/>
      <c r="LZK94" s="195"/>
      <c r="LZL94" s="195"/>
      <c r="LZM94" s="195"/>
      <c r="LZN94" s="195"/>
      <c r="LZO94" s="195"/>
      <c r="LZP94" s="195"/>
      <c r="LZQ94" s="195"/>
      <c r="LZR94" s="195"/>
      <c r="LZS94" s="195"/>
      <c r="LZT94" s="195"/>
      <c r="LZU94" s="195"/>
      <c r="LZV94" s="195"/>
      <c r="LZW94" s="195"/>
      <c r="LZX94" s="195"/>
      <c r="LZY94" s="195"/>
      <c r="LZZ94" s="195"/>
      <c r="MAA94" s="195"/>
      <c r="MAB94" s="195"/>
      <c r="MAC94" s="195"/>
      <c r="MAD94" s="195"/>
      <c r="MAE94" s="195"/>
      <c r="MAF94" s="195"/>
      <c r="MAG94" s="195"/>
      <c r="MAH94" s="195"/>
      <c r="MAI94" s="195"/>
      <c r="MAJ94" s="195"/>
      <c r="MAK94" s="195"/>
      <c r="MAL94" s="195"/>
      <c r="MAM94" s="195"/>
      <c r="MAN94" s="195"/>
      <c r="MAO94" s="195"/>
      <c r="MAP94" s="195"/>
      <c r="MAQ94" s="195"/>
      <c r="MAR94" s="195"/>
      <c r="MAS94" s="195"/>
      <c r="MAT94" s="195"/>
      <c r="MAU94" s="195"/>
      <c r="MAV94" s="195"/>
      <c r="MAW94" s="195"/>
      <c r="MAX94" s="195"/>
      <c r="MAY94" s="195"/>
      <c r="MAZ94" s="195"/>
      <c r="MBA94" s="195"/>
      <c r="MBB94" s="195"/>
      <c r="MBC94" s="195"/>
      <c r="MBD94" s="195"/>
      <c r="MBE94" s="195"/>
      <c r="MBF94" s="195"/>
      <c r="MBG94" s="195"/>
      <c r="MBH94" s="195"/>
      <c r="MBI94" s="195"/>
      <c r="MBJ94" s="195"/>
      <c r="MBK94" s="195"/>
      <c r="MBL94" s="195"/>
      <c r="MBM94" s="195"/>
      <c r="MBN94" s="195"/>
      <c r="MBO94" s="195"/>
      <c r="MBP94" s="195"/>
      <c r="MBQ94" s="195"/>
      <c r="MBR94" s="195"/>
      <c r="MBS94" s="195"/>
      <c r="MBT94" s="195"/>
      <c r="MBU94" s="195"/>
      <c r="MBV94" s="195"/>
      <c r="MBW94" s="195"/>
      <c r="MBX94" s="195"/>
      <c r="MBY94" s="195"/>
      <c r="MBZ94" s="195"/>
      <c r="MCA94" s="195"/>
      <c r="MCB94" s="195"/>
      <c r="MCC94" s="195"/>
      <c r="MCD94" s="195"/>
      <c r="MCE94" s="195"/>
      <c r="MCF94" s="195"/>
      <c r="MCG94" s="195"/>
      <c r="MCH94" s="195"/>
      <c r="MCI94" s="195"/>
      <c r="MCJ94" s="195"/>
      <c r="MCK94" s="195"/>
      <c r="MCL94" s="195"/>
      <c r="MCM94" s="195"/>
      <c r="MCN94" s="195"/>
      <c r="MCO94" s="195"/>
      <c r="MCP94" s="195"/>
      <c r="MCQ94" s="195"/>
      <c r="MCR94" s="195"/>
      <c r="MCS94" s="195"/>
      <c r="MCT94" s="195"/>
      <c r="MCU94" s="195"/>
      <c r="MCV94" s="195"/>
      <c r="MCW94" s="195"/>
      <c r="MCX94" s="195"/>
      <c r="MCY94" s="195"/>
      <c r="MCZ94" s="195"/>
      <c r="MDA94" s="195"/>
      <c r="MDB94" s="195"/>
      <c r="MDC94" s="195"/>
      <c r="MDD94" s="195"/>
      <c r="MDE94" s="195"/>
      <c r="MDF94" s="195"/>
      <c r="MDG94" s="195"/>
      <c r="MDH94" s="195"/>
      <c r="MDI94" s="195"/>
      <c r="MDJ94" s="195"/>
      <c r="MDK94" s="195"/>
      <c r="MDL94" s="195"/>
      <c r="MDM94" s="195"/>
      <c r="MDN94" s="195"/>
      <c r="MDO94" s="195"/>
      <c r="MDP94" s="195"/>
      <c r="MDQ94" s="195"/>
      <c r="MDR94" s="195"/>
      <c r="MDS94" s="195"/>
      <c r="MDT94" s="195"/>
      <c r="MDU94" s="195"/>
      <c r="MDV94" s="195"/>
      <c r="MDW94" s="195"/>
      <c r="MDX94" s="195"/>
      <c r="MDY94" s="195"/>
      <c r="MDZ94" s="195"/>
      <c r="MEA94" s="195"/>
      <c r="MEB94" s="195"/>
      <c r="MEC94" s="195"/>
      <c r="MED94" s="195"/>
      <c r="MEE94" s="195"/>
      <c r="MEF94" s="195"/>
      <c r="MEG94" s="195"/>
      <c r="MEH94" s="195"/>
      <c r="MEI94" s="195"/>
      <c r="MEJ94" s="195"/>
      <c r="MEK94" s="195"/>
      <c r="MEL94" s="195"/>
      <c r="MEM94" s="195"/>
      <c r="MEN94" s="195"/>
      <c r="MEO94" s="195"/>
      <c r="MEP94" s="195"/>
      <c r="MEQ94" s="195"/>
      <c r="MER94" s="195"/>
      <c r="MES94" s="195"/>
      <c r="MET94" s="195"/>
      <c r="MEU94" s="195"/>
      <c r="MEV94" s="195"/>
      <c r="MEW94" s="195"/>
      <c r="MEX94" s="195"/>
      <c r="MEY94" s="195"/>
      <c r="MEZ94" s="195"/>
      <c r="MFA94" s="195"/>
      <c r="MFB94" s="195"/>
      <c r="MFC94" s="195"/>
      <c r="MFD94" s="195"/>
      <c r="MFE94" s="195"/>
      <c r="MFF94" s="195"/>
      <c r="MFG94" s="195"/>
      <c r="MFH94" s="195"/>
      <c r="MFI94" s="195"/>
      <c r="MFJ94" s="195"/>
      <c r="MFK94" s="195"/>
      <c r="MFL94" s="195"/>
      <c r="MFM94" s="195"/>
      <c r="MFN94" s="195"/>
      <c r="MFO94" s="195"/>
      <c r="MFP94" s="195"/>
      <c r="MFQ94" s="195"/>
      <c r="MFR94" s="195"/>
      <c r="MFS94" s="195"/>
      <c r="MFT94" s="195"/>
      <c r="MFU94" s="195"/>
      <c r="MFV94" s="195"/>
      <c r="MFW94" s="195"/>
      <c r="MFX94" s="195"/>
      <c r="MFY94" s="195"/>
      <c r="MFZ94" s="195"/>
      <c r="MGA94" s="195"/>
      <c r="MGB94" s="195"/>
      <c r="MGC94" s="195"/>
      <c r="MGD94" s="195"/>
      <c r="MGE94" s="195"/>
      <c r="MGF94" s="195"/>
      <c r="MGG94" s="195"/>
      <c r="MGH94" s="195"/>
      <c r="MGI94" s="195"/>
      <c r="MGJ94" s="195"/>
      <c r="MGK94" s="195"/>
      <c r="MGL94" s="195"/>
      <c r="MGM94" s="195"/>
      <c r="MGN94" s="195"/>
      <c r="MGO94" s="195"/>
      <c r="MGP94" s="195"/>
      <c r="MGQ94" s="195"/>
      <c r="MGR94" s="195"/>
      <c r="MGS94" s="195"/>
      <c r="MGT94" s="195"/>
      <c r="MGU94" s="195"/>
      <c r="MGV94" s="195"/>
      <c r="MGW94" s="195"/>
      <c r="MGX94" s="195"/>
      <c r="MGY94" s="195"/>
      <c r="MGZ94" s="195"/>
      <c r="MHA94" s="195"/>
      <c r="MHB94" s="195"/>
      <c r="MHC94" s="195"/>
      <c r="MHD94" s="195"/>
      <c r="MHE94" s="195"/>
      <c r="MHF94" s="195"/>
      <c r="MHG94" s="195"/>
      <c r="MHH94" s="195"/>
      <c r="MHI94" s="195"/>
      <c r="MHJ94" s="195"/>
      <c r="MHK94" s="195"/>
      <c r="MHL94" s="195"/>
      <c r="MHM94" s="195"/>
      <c r="MHN94" s="195"/>
      <c r="MHO94" s="195"/>
      <c r="MHP94" s="195"/>
      <c r="MHQ94" s="195"/>
      <c r="MHR94" s="195"/>
      <c r="MHS94" s="195"/>
      <c r="MHT94" s="195"/>
      <c r="MHU94" s="195"/>
      <c r="MHV94" s="195"/>
      <c r="MHW94" s="195"/>
      <c r="MHX94" s="195"/>
      <c r="MHY94" s="195"/>
      <c r="MHZ94" s="195"/>
      <c r="MIA94" s="195"/>
      <c r="MIB94" s="195"/>
      <c r="MIC94" s="195"/>
      <c r="MID94" s="195"/>
      <c r="MIE94" s="195"/>
      <c r="MIF94" s="195"/>
      <c r="MIG94" s="195"/>
      <c r="MIH94" s="195"/>
      <c r="MII94" s="195"/>
      <c r="MIJ94" s="195"/>
      <c r="MIK94" s="195"/>
      <c r="MIL94" s="195"/>
      <c r="MIM94" s="195"/>
      <c r="MIN94" s="195"/>
      <c r="MIO94" s="195"/>
      <c r="MIP94" s="195"/>
      <c r="MIQ94" s="195"/>
      <c r="MIR94" s="195"/>
      <c r="MIS94" s="195"/>
      <c r="MIT94" s="195"/>
      <c r="MIU94" s="195"/>
      <c r="MIV94" s="195"/>
      <c r="MIW94" s="195"/>
      <c r="MIX94" s="195"/>
      <c r="MIY94" s="195"/>
      <c r="MIZ94" s="195"/>
      <c r="MJA94" s="195"/>
      <c r="MJB94" s="195"/>
      <c r="MJC94" s="195"/>
      <c r="MJD94" s="195"/>
      <c r="MJE94" s="195"/>
      <c r="MJF94" s="195"/>
      <c r="MJG94" s="195"/>
      <c r="MJH94" s="195"/>
      <c r="MJI94" s="195"/>
      <c r="MJJ94" s="195"/>
      <c r="MJK94" s="195"/>
      <c r="MJL94" s="195"/>
      <c r="MJM94" s="195"/>
      <c r="MJN94" s="195"/>
      <c r="MJO94" s="195"/>
      <c r="MJP94" s="195"/>
      <c r="MJQ94" s="195"/>
      <c r="MJR94" s="195"/>
      <c r="MJS94" s="195"/>
      <c r="MJT94" s="195"/>
      <c r="MJU94" s="195"/>
      <c r="MJV94" s="195"/>
      <c r="MJW94" s="195"/>
      <c r="MJX94" s="195"/>
      <c r="MJY94" s="195"/>
      <c r="MJZ94" s="195"/>
      <c r="MKA94" s="195"/>
      <c r="MKB94" s="195"/>
      <c r="MKC94" s="195"/>
      <c r="MKD94" s="195"/>
      <c r="MKE94" s="195"/>
      <c r="MKF94" s="195"/>
      <c r="MKG94" s="195"/>
      <c r="MKH94" s="195"/>
      <c r="MKI94" s="195"/>
      <c r="MKJ94" s="195"/>
      <c r="MKK94" s="195"/>
      <c r="MKL94" s="195"/>
      <c r="MKM94" s="195"/>
      <c r="MKN94" s="195"/>
      <c r="MKO94" s="195"/>
      <c r="MKP94" s="195"/>
      <c r="MKQ94" s="195"/>
      <c r="MKR94" s="195"/>
      <c r="MKS94" s="195"/>
      <c r="MKT94" s="195"/>
      <c r="MKU94" s="195"/>
      <c r="MKV94" s="195"/>
      <c r="MKW94" s="195"/>
      <c r="MKX94" s="195"/>
      <c r="MKY94" s="195"/>
      <c r="MKZ94" s="195"/>
      <c r="MLA94" s="195"/>
      <c r="MLB94" s="195"/>
      <c r="MLC94" s="195"/>
      <c r="MLD94" s="195"/>
      <c r="MLE94" s="195"/>
      <c r="MLF94" s="195"/>
      <c r="MLG94" s="195"/>
      <c r="MLH94" s="195"/>
      <c r="MLI94" s="195"/>
      <c r="MLJ94" s="195"/>
      <c r="MLK94" s="195"/>
      <c r="MLL94" s="195"/>
      <c r="MLM94" s="195"/>
      <c r="MLN94" s="195"/>
      <c r="MLO94" s="195"/>
      <c r="MLP94" s="195"/>
      <c r="MLQ94" s="195"/>
      <c r="MLR94" s="195"/>
      <c r="MLS94" s="195"/>
      <c r="MLT94" s="195"/>
      <c r="MLU94" s="195"/>
      <c r="MLV94" s="195"/>
      <c r="MLW94" s="195"/>
      <c r="MLX94" s="195"/>
      <c r="MLY94" s="195"/>
      <c r="MLZ94" s="195"/>
      <c r="MMA94" s="195"/>
      <c r="MMB94" s="195"/>
      <c r="MMC94" s="195"/>
      <c r="MMD94" s="195"/>
      <c r="MME94" s="195"/>
      <c r="MMF94" s="195"/>
      <c r="MMG94" s="195"/>
      <c r="MMH94" s="195"/>
      <c r="MMI94" s="195"/>
      <c r="MMJ94" s="195"/>
      <c r="MMK94" s="195"/>
      <c r="MML94" s="195"/>
      <c r="MMM94" s="195"/>
      <c r="MMN94" s="195"/>
      <c r="MMO94" s="195"/>
      <c r="MMP94" s="195"/>
      <c r="MMQ94" s="195"/>
      <c r="MMR94" s="195"/>
      <c r="MMS94" s="195"/>
      <c r="MMT94" s="195"/>
      <c r="MMU94" s="195"/>
      <c r="MMV94" s="195"/>
      <c r="MMW94" s="195"/>
      <c r="MMX94" s="195"/>
      <c r="MMY94" s="195"/>
      <c r="MMZ94" s="195"/>
      <c r="MNA94" s="195"/>
      <c r="MNB94" s="195"/>
      <c r="MNC94" s="195"/>
      <c r="MND94" s="195"/>
      <c r="MNE94" s="195"/>
      <c r="MNF94" s="195"/>
      <c r="MNG94" s="195"/>
      <c r="MNH94" s="195"/>
      <c r="MNI94" s="195"/>
      <c r="MNJ94" s="195"/>
      <c r="MNK94" s="195"/>
      <c r="MNL94" s="195"/>
      <c r="MNM94" s="195"/>
      <c r="MNN94" s="195"/>
      <c r="MNO94" s="195"/>
      <c r="MNP94" s="195"/>
      <c r="MNQ94" s="195"/>
      <c r="MNR94" s="195"/>
      <c r="MNS94" s="195"/>
      <c r="MNT94" s="195"/>
      <c r="MNU94" s="195"/>
      <c r="MNV94" s="195"/>
      <c r="MNW94" s="195"/>
      <c r="MNX94" s="195"/>
      <c r="MNY94" s="195"/>
      <c r="MNZ94" s="195"/>
      <c r="MOA94" s="195"/>
      <c r="MOB94" s="195"/>
      <c r="MOC94" s="195"/>
      <c r="MOD94" s="195"/>
      <c r="MOE94" s="195"/>
      <c r="MOF94" s="195"/>
      <c r="MOG94" s="195"/>
      <c r="MOH94" s="195"/>
      <c r="MOI94" s="195"/>
      <c r="MOJ94" s="195"/>
      <c r="MOK94" s="195"/>
      <c r="MOL94" s="195"/>
      <c r="MOM94" s="195"/>
      <c r="MON94" s="195"/>
      <c r="MOO94" s="195"/>
      <c r="MOP94" s="195"/>
      <c r="MOQ94" s="195"/>
      <c r="MOR94" s="195"/>
      <c r="MOS94" s="195"/>
      <c r="MOT94" s="195"/>
      <c r="MOU94" s="195"/>
      <c r="MOV94" s="195"/>
      <c r="MOW94" s="195"/>
      <c r="MOX94" s="195"/>
      <c r="MOY94" s="195"/>
      <c r="MOZ94" s="195"/>
      <c r="MPA94" s="195"/>
      <c r="MPB94" s="195"/>
      <c r="MPC94" s="195"/>
      <c r="MPD94" s="195"/>
      <c r="MPE94" s="195"/>
      <c r="MPF94" s="195"/>
      <c r="MPG94" s="195"/>
      <c r="MPH94" s="195"/>
      <c r="MPI94" s="195"/>
      <c r="MPJ94" s="195"/>
      <c r="MPK94" s="195"/>
      <c r="MPL94" s="195"/>
      <c r="MPM94" s="195"/>
      <c r="MPN94" s="195"/>
      <c r="MPO94" s="195"/>
      <c r="MPP94" s="195"/>
      <c r="MPQ94" s="195"/>
      <c r="MPR94" s="195"/>
      <c r="MPS94" s="195"/>
      <c r="MPT94" s="195"/>
      <c r="MPU94" s="195"/>
      <c r="MPV94" s="195"/>
      <c r="MPW94" s="195"/>
      <c r="MPX94" s="195"/>
      <c r="MPY94" s="195"/>
      <c r="MPZ94" s="195"/>
      <c r="MQA94" s="195"/>
      <c r="MQB94" s="195"/>
      <c r="MQC94" s="195"/>
      <c r="MQD94" s="195"/>
      <c r="MQE94" s="195"/>
      <c r="MQF94" s="195"/>
      <c r="MQG94" s="195"/>
      <c r="MQH94" s="195"/>
      <c r="MQI94" s="195"/>
      <c r="MQJ94" s="195"/>
      <c r="MQK94" s="195"/>
      <c r="MQL94" s="195"/>
      <c r="MQM94" s="195"/>
      <c r="MQN94" s="195"/>
      <c r="MQO94" s="195"/>
      <c r="MQP94" s="195"/>
      <c r="MQQ94" s="195"/>
      <c r="MQR94" s="195"/>
      <c r="MQS94" s="195"/>
      <c r="MQT94" s="195"/>
      <c r="MQU94" s="195"/>
      <c r="MQV94" s="195"/>
      <c r="MQW94" s="195"/>
      <c r="MQX94" s="195"/>
      <c r="MQY94" s="195"/>
      <c r="MQZ94" s="195"/>
      <c r="MRA94" s="195"/>
      <c r="MRB94" s="195"/>
      <c r="MRC94" s="195"/>
      <c r="MRD94" s="195"/>
      <c r="MRE94" s="195"/>
      <c r="MRF94" s="195"/>
      <c r="MRG94" s="195"/>
      <c r="MRH94" s="195"/>
      <c r="MRI94" s="195"/>
      <c r="MRJ94" s="195"/>
      <c r="MRK94" s="195"/>
      <c r="MRL94" s="195"/>
      <c r="MRM94" s="195"/>
      <c r="MRN94" s="195"/>
      <c r="MRO94" s="195"/>
      <c r="MRP94" s="195"/>
      <c r="MRQ94" s="195"/>
      <c r="MRR94" s="195"/>
      <c r="MRS94" s="195"/>
      <c r="MRT94" s="195"/>
      <c r="MRU94" s="195"/>
      <c r="MRV94" s="195"/>
      <c r="MRW94" s="195"/>
      <c r="MRX94" s="195"/>
      <c r="MRY94" s="195"/>
      <c r="MRZ94" s="195"/>
      <c r="MSA94" s="195"/>
      <c r="MSB94" s="195"/>
      <c r="MSC94" s="195"/>
      <c r="MSD94" s="195"/>
      <c r="MSE94" s="195"/>
      <c r="MSF94" s="195"/>
      <c r="MSG94" s="195"/>
      <c r="MSH94" s="195"/>
      <c r="MSI94" s="195"/>
      <c r="MSJ94" s="195"/>
      <c r="MSK94" s="195"/>
      <c r="MSL94" s="195"/>
      <c r="MSM94" s="195"/>
      <c r="MSN94" s="195"/>
      <c r="MSO94" s="195"/>
      <c r="MSP94" s="195"/>
      <c r="MSQ94" s="195"/>
      <c r="MSR94" s="195"/>
      <c r="MSS94" s="195"/>
      <c r="MST94" s="195"/>
      <c r="MSU94" s="195"/>
      <c r="MSV94" s="195"/>
      <c r="MSW94" s="195"/>
      <c r="MSX94" s="195"/>
      <c r="MSY94" s="195"/>
      <c r="MSZ94" s="195"/>
      <c r="MTA94" s="195"/>
      <c r="MTB94" s="195"/>
      <c r="MTC94" s="195"/>
      <c r="MTD94" s="195"/>
      <c r="MTE94" s="195"/>
      <c r="MTF94" s="195"/>
      <c r="MTG94" s="195"/>
      <c r="MTH94" s="195"/>
      <c r="MTI94" s="195"/>
      <c r="MTJ94" s="195"/>
      <c r="MTK94" s="195"/>
      <c r="MTL94" s="195"/>
      <c r="MTM94" s="195"/>
      <c r="MTN94" s="195"/>
      <c r="MTO94" s="195"/>
      <c r="MTP94" s="195"/>
      <c r="MTQ94" s="195"/>
      <c r="MTR94" s="195"/>
      <c r="MTS94" s="195"/>
      <c r="MTT94" s="195"/>
      <c r="MTU94" s="195"/>
      <c r="MTV94" s="195"/>
      <c r="MTW94" s="195"/>
      <c r="MTX94" s="195"/>
      <c r="MTY94" s="195"/>
      <c r="MTZ94" s="195"/>
      <c r="MUA94" s="195"/>
      <c r="MUB94" s="195"/>
      <c r="MUC94" s="195"/>
      <c r="MUD94" s="195"/>
      <c r="MUE94" s="195"/>
      <c r="MUF94" s="195"/>
      <c r="MUG94" s="195"/>
      <c r="MUH94" s="195"/>
      <c r="MUI94" s="195"/>
      <c r="MUJ94" s="195"/>
      <c r="MUK94" s="195"/>
      <c r="MUL94" s="195"/>
      <c r="MUM94" s="195"/>
      <c r="MUN94" s="195"/>
      <c r="MUO94" s="195"/>
      <c r="MUP94" s="195"/>
      <c r="MUQ94" s="195"/>
      <c r="MUR94" s="195"/>
      <c r="MUS94" s="195"/>
      <c r="MUT94" s="195"/>
      <c r="MUU94" s="195"/>
      <c r="MUV94" s="195"/>
      <c r="MUW94" s="195"/>
      <c r="MUX94" s="195"/>
      <c r="MUY94" s="195"/>
      <c r="MUZ94" s="195"/>
      <c r="MVA94" s="195"/>
      <c r="MVB94" s="195"/>
      <c r="MVC94" s="195"/>
      <c r="MVD94" s="195"/>
      <c r="MVE94" s="195"/>
      <c r="MVF94" s="195"/>
      <c r="MVG94" s="195"/>
      <c r="MVH94" s="195"/>
      <c r="MVI94" s="195"/>
      <c r="MVJ94" s="195"/>
      <c r="MVK94" s="195"/>
      <c r="MVL94" s="195"/>
      <c r="MVM94" s="195"/>
      <c r="MVN94" s="195"/>
      <c r="MVO94" s="195"/>
      <c r="MVP94" s="195"/>
      <c r="MVQ94" s="195"/>
      <c r="MVR94" s="195"/>
      <c r="MVS94" s="195"/>
      <c r="MVT94" s="195"/>
      <c r="MVU94" s="195"/>
      <c r="MVV94" s="195"/>
      <c r="MVW94" s="195"/>
      <c r="MVX94" s="195"/>
      <c r="MVY94" s="195"/>
      <c r="MVZ94" s="195"/>
      <c r="MWA94" s="195"/>
      <c r="MWB94" s="195"/>
      <c r="MWC94" s="195"/>
      <c r="MWD94" s="195"/>
      <c r="MWE94" s="195"/>
      <c r="MWF94" s="195"/>
      <c r="MWG94" s="195"/>
      <c r="MWH94" s="195"/>
      <c r="MWI94" s="195"/>
      <c r="MWJ94" s="195"/>
      <c r="MWK94" s="195"/>
      <c r="MWL94" s="195"/>
      <c r="MWM94" s="195"/>
      <c r="MWN94" s="195"/>
      <c r="MWO94" s="195"/>
      <c r="MWP94" s="195"/>
      <c r="MWQ94" s="195"/>
      <c r="MWR94" s="195"/>
      <c r="MWS94" s="195"/>
      <c r="MWT94" s="195"/>
      <c r="MWU94" s="195"/>
      <c r="MWV94" s="195"/>
      <c r="MWW94" s="195"/>
      <c r="MWX94" s="195"/>
      <c r="MWY94" s="195"/>
      <c r="MWZ94" s="195"/>
      <c r="MXA94" s="195"/>
      <c r="MXB94" s="195"/>
      <c r="MXC94" s="195"/>
      <c r="MXD94" s="195"/>
      <c r="MXE94" s="195"/>
      <c r="MXF94" s="195"/>
      <c r="MXG94" s="195"/>
      <c r="MXH94" s="195"/>
      <c r="MXI94" s="195"/>
      <c r="MXJ94" s="195"/>
      <c r="MXK94" s="195"/>
      <c r="MXL94" s="195"/>
      <c r="MXM94" s="195"/>
      <c r="MXN94" s="195"/>
      <c r="MXO94" s="195"/>
      <c r="MXP94" s="195"/>
      <c r="MXQ94" s="195"/>
      <c r="MXR94" s="195"/>
      <c r="MXS94" s="195"/>
      <c r="MXT94" s="195"/>
      <c r="MXU94" s="195"/>
      <c r="MXV94" s="195"/>
      <c r="MXW94" s="195"/>
      <c r="MXX94" s="195"/>
      <c r="MXY94" s="195"/>
      <c r="MXZ94" s="195"/>
      <c r="MYA94" s="195"/>
      <c r="MYB94" s="195"/>
      <c r="MYC94" s="195"/>
      <c r="MYD94" s="195"/>
      <c r="MYE94" s="195"/>
      <c r="MYF94" s="195"/>
      <c r="MYG94" s="195"/>
      <c r="MYH94" s="195"/>
      <c r="MYI94" s="195"/>
      <c r="MYJ94" s="195"/>
      <c r="MYK94" s="195"/>
      <c r="MYL94" s="195"/>
      <c r="MYM94" s="195"/>
      <c r="MYN94" s="195"/>
      <c r="MYO94" s="195"/>
      <c r="MYP94" s="195"/>
      <c r="MYQ94" s="195"/>
      <c r="MYR94" s="195"/>
      <c r="MYS94" s="195"/>
      <c r="MYT94" s="195"/>
      <c r="MYU94" s="195"/>
      <c r="MYV94" s="195"/>
      <c r="MYW94" s="195"/>
      <c r="MYX94" s="195"/>
      <c r="MYY94" s="195"/>
      <c r="MYZ94" s="195"/>
      <c r="MZA94" s="195"/>
      <c r="MZB94" s="195"/>
      <c r="MZC94" s="195"/>
      <c r="MZD94" s="195"/>
      <c r="MZE94" s="195"/>
      <c r="MZF94" s="195"/>
      <c r="MZG94" s="195"/>
      <c r="MZH94" s="195"/>
      <c r="MZI94" s="195"/>
      <c r="MZJ94" s="195"/>
      <c r="MZK94" s="195"/>
      <c r="MZL94" s="195"/>
      <c r="MZM94" s="195"/>
      <c r="MZN94" s="195"/>
      <c r="MZO94" s="195"/>
      <c r="MZP94" s="195"/>
      <c r="MZQ94" s="195"/>
      <c r="MZR94" s="195"/>
      <c r="MZS94" s="195"/>
      <c r="MZT94" s="195"/>
      <c r="MZU94" s="195"/>
      <c r="MZV94" s="195"/>
      <c r="MZW94" s="195"/>
      <c r="MZX94" s="195"/>
      <c r="MZY94" s="195"/>
      <c r="MZZ94" s="195"/>
      <c r="NAA94" s="195"/>
      <c r="NAB94" s="195"/>
      <c r="NAC94" s="195"/>
      <c r="NAD94" s="195"/>
      <c r="NAE94" s="195"/>
      <c r="NAF94" s="195"/>
      <c r="NAG94" s="195"/>
      <c r="NAH94" s="195"/>
      <c r="NAI94" s="195"/>
      <c r="NAJ94" s="195"/>
      <c r="NAK94" s="195"/>
      <c r="NAL94" s="195"/>
      <c r="NAM94" s="195"/>
      <c r="NAN94" s="195"/>
      <c r="NAO94" s="195"/>
      <c r="NAP94" s="195"/>
      <c r="NAQ94" s="195"/>
      <c r="NAR94" s="195"/>
      <c r="NAS94" s="195"/>
      <c r="NAT94" s="195"/>
      <c r="NAU94" s="195"/>
      <c r="NAV94" s="195"/>
      <c r="NAW94" s="195"/>
      <c r="NAX94" s="195"/>
      <c r="NAY94" s="195"/>
      <c r="NAZ94" s="195"/>
      <c r="NBA94" s="195"/>
      <c r="NBB94" s="195"/>
      <c r="NBC94" s="195"/>
      <c r="NBD94" s="195"/>
      <c r="NBE94" s="195"/>
      <c r="NBF94" s="195"/>
      <c r="NBG94" s="195"/>
      <c r="NBH94" s="195"/>
      <c r="NBI94" s="195"/>
      <c r="NBJ94" s="195"/>
      <c r="NBK94" s="195"/>
      <c r="NBL94" s="195"/>
      <c r="NBM94" s="195"/>
      <c r="NBN94" s="195"/>
      <c r="NBO94" s="195"/>
      <c r="NBP94" s="195"/>
      <c r="NBQ94" s="195"/>
      <c r="NBR94" s="195"/>
      <c r="NBS94" s="195"/>
      <c r="NBT94" s="195"/>
      <c r="NBU94" s="195"/>
      <c r="NBV94" s="195"/>
      <c r="NBW94" s="195"/>
      <c r="NBX94" s="195"/>
      <c r="NBY94" s="195"/>
      <c r="NBZ94" s="195"/>
      <c r="NCA94" s="195"/>
      <c r="NCB94" s="195"/>
      <c r="NCC94" s="195"/>
      <c r="NCD94" s="195"/>
      <c r="NCE94" s="195"/>
      <c r="NCF94" s="195"/>
      <c r="NCG94" s="195"/>
      <c r="NCH94" s="195"/>
      <c r="NCI94" s="195"/>
      <c r="NCJ94" s="195"/>
      <c r="NCK94" s="195"/>
      <c r="NCL94" s="195"/>
      <c r="NCM94" s="195"/>
      <c r="NCN94" s="195"/>
      <c r="NCO94" s="195"/>
      <c r="NCP94" s="195"/>
      <c r="NCQ94" s="195"/>
      <c r="NCR94" s="195"/>
      <c r="NCS94" s="195"/>
      <c r="NCT94" s="195"/>
      <c r="NCU94" s="195"/>
      <c r="NCV94" s="195"/>
      <c r="NCW94" s="195"/>
      <c r="NCX94" s="195"/>
      <c r="NCY94" s="195"/>
      <c r="NCZ94" s="195"/>
      <c r="NDA94" s="195"/>
      <c r="NDB94" s="195"/>
      <c r="NDC94" s="195"/>
      <c r="NDD94" s="195"/>
      <c r="NDE94" s="195"/>
      <c r="NDF94" s="195"/>
      <c r="NDG94" s="195"/>
      <c r="NDH94" s="195"/>
      <c r="NDI94" s="195"/>
      <c r="NDJ94" s="195"/>
      <c r="NDK94" s="195"/>
      <c r="NDL94" s="195"/>
      <c r="NDM94" s="195"/>
      <c r="NDN94" s="195"/>
      <c r="NDO94" s="195"/>
      <c r="NDP94" s="195"/>
      <c r="NDQ94" s="195"/>
      <c r="NDR94" s="195"/>
      <c r="NDS94" s="195"/>
      <c r="NDT94" s="195"/>
      <c r="NDU94" s="195"/>
      <c r="NDV94" s="195"/>
      <c r="NDW94" s="195"/>
      <c r="NDX94" s="195"/>
      <c r="NDY94" s="195"/>
      <c r="NDZ94" s="195"/>
      <c r="NEA94" s="195"/>
      <c r="NEB94" s="195"/>
      <c r="NEC94" s="195"/>
      <c r="NED94" s="195"/>
      <c r="NEE94" s="195"/>
      <c r="NEF94" s="195"/>
      <c r="NEG94" s="195"/>
      <c r="NEH94" s="195"/>
      <c r="NEI94" s="195"/>
      <c r="NEJ94" s="195"/>
      <c r="NEK94" s="195"/>
      <c r="NEL94" s="195"/>
      <c r="NEM94" s="195"/>
      <c r="NEN94" s="195"/>
      <c r="NEO94" s="195"/>
      <c r="NEP94" s="195"/>
      <c r="NEQ94" s="195"/>
      <c r="NER94" s="195"/>
      <c r="NES94" s="195"/>
      <c r="NET94" s="195"/>
      <c r="NEU94" s="195"/>
      <c r="NEV94" s="195"/>
      <c r="NEW94" s="195"/>
      <c r="NEX94" s="195"/>
      <c r="NEY94" s="195"/>
      <c r="NEZ94" s="195"/>
      <c r="NFA94" s="195"/>
      <c r="NFB94" s="195"/>
      <c r="NFC94" s="195"/>
      <c r="NFD94" s="195"/>
      <c r="NFE94" s="195"/>
      <c r="NFF94" s="195"/>
      <c r="NFG94" s="195"/>
      <c r="NFH94" s="195"/>
      <c r="NFI94" s="195"/>
      <c r="NFJ94" s="195"/>
      <c r="NFK94" s="195"/>
      <c r="NFL94" s="195"/>
      <c r="NFM94" s="195"/>
      <c r="NFN94" s="195"/>
      <c r="NFO94" s="195"/>
      <c r="NFP94" s="195"/>
      <c r="NFQ94" s="195"/>
      <c r="NFR94" s="195"/>
      <c r="NFS94" s="195"/>
      <c r="NFT94" s="195"/>
      <c r="NFU94" s="195"/>
      <c r="NFV94" s="195"/>
      <c r="NFW94" s="195"/>
      <c r="NFX94" s="195"/>
      <c r="NFY94" s="195"/>
      <c r="NFZ94" s="195"/>
      <c r="NGA94" s="195"/>
      <c r="NGB94" s="195"/>
      <c r="NGC94" s="195"/>
      <c r="NGD94" s="195"/>
      <c r="NGE94" s="195"/>
      <c r="NGF94" s="195"/>
      <c r="NGG94" s="195"/>
      <c r="NGH94" s="195"/>
      <c r="NGI94" s="195"/>
      <c r="NGJ94" s="195"/>
      <c r="NGK94" s="195"/>
      <c r="NGL94" s="195"/>
      <c r="NGM94" s="195"/>
      <c r="NGN94" s="195"/>
      <c r="NGO94" s="195"/>
      <c r="NGP94" s="195"/>
      <c r="NGQ94" s="195"/>
      <c r="NGR94" s="195"/>
      <c r="NGS94" s="195"/>
      <c r="NGT94" s="195"/>
      <c r="NGU94" s="195"/>
      <c r="NGV94" s="195"/>
      <c r="NGW94" s="195"/>
      <c r="NGX94" s="195"/>
      <c r="NGY94" s="195"/>
      <c r="NGZ94" s="195"/>
      <c r="NHA94" s="195"/>
      <c r="NHB94" s="195"/>
      <c r="NHC94" s="195"/>
      <c r="NHD94" s="195"/>
      <c r="NHE94" s="195"/>
      <c r="NHF94" s="195"/>
      <c r="NHG94" s="195"/>
      <c r="NHH94" s="195"/>
      <c r="NHI94" s="195"/>
      <c r="NHJ94" s="195"/>
      <c r="NHK94" s="195"/>
      <c r="NHL94" s="195"/>
      <c r="NHM94" s="195"/>
      <c r="NHN94" s="195"/>
      <c r="NHO94" s="195"/>
      <c r="NHP94" s="195"/>
      <c r="NHQ94" s="195"/>
      <c r="NHR94" s="195"/>
      <c r="NHS94" s="195"/>
      <c r="NHT94" s="195"/>
      <c r="NHU94" s="195"/>
      <c r="NHV94" s="195"/>
      <c r="NHW94" s="195"/>
      <c r="NHX94" s="195"/>
      <c r="NHY94" s="195"/>
      <c r="NHZ94" s="195"/>
      <c r="NIA94" s="195"/>
      <c r="NIB94" s="195"/>
      <c r="NIC94" s="195"/>
      <c r="NID94" s="195"/>
      <c r="NIE94" s="195"/>
      <c r="NIF94" s="195"/>
      <c r="NIG94" s="195"/>
      <c r="NIH94" s="195"/>
      <c r="NII94" s="195"/>
      <c r="NIJ94" s="195"/>
      <c r="NIK94" s="195"/>
      <c r="NIL94" s="195"/>
      <c r="NIM94" s="195"/>
      <c r="NIN94" s="195"/>
      <c r="NIO94" s="195"/>
      <c r="NIP94" s="195"/>
      <c r="NIQ94" s="195"/>
      <c r="NIR94" s="195"/>
      <c r="NIS94" s="195"/>
      <c r="NIT94" s="195"/>
      <c r="NIU94" s="195"/>
      <c r="NIV94" s="195"/>
      <c r="NIW94" s="195"/>
      <c r="NIX94" s="195"/>
      <c r="NIY94" s="195"/>
      <c r="NIZ94" s="195"/>
      <c r="NJA94" s="195"/>
      <c r="NJB94" s="195"/>
      <c r="NJC94" s="195"/>
      <c r="NJD94" s="195"/>
      <c r="NJE94" s="195"/>
      <c r="NJF94" s="195"/>
      <c r="NJG94" s="195"/>
      <c r="NJH94" s="195"/>
      <c r="NJI94" s="195"/>
      <c r="NJJ94" s="195"/>
      <c r="NJK94" s="195"/>
      <c r="NJL94" s="195"/>
      <c r="NJM94" s="195"/>
      <c r="NJN94" s="195"/>
      <c r="NJO94" s="195"/>
      <c r="NJP94" s="195"/>
      <c r="NJQ94" s="195"/>
      <c r="NJR94" s="195"/>
      <c r="NJS94" s="195"/>
      <c r="NJT94" s="195"/>
      <c r="NJU94" s="195"/>
      <c r="NJV94" s="195"/>
      <c r="NJW94" s="195"/>
      <c r="NJX94" s="195"/>
      <c r="NJY94" s="195"/>
      <c r="NJZ94" s="195"/>
      <c r="NKA94" s="195"/>
      <c r="NKB94" s="195"/>
      <c r="NKC94" s="195"/>
      <c r="NKD94" s="195"/>
      <c r="NKE94" s="195"/>
      <c r="NKF94" s="195"/>
      <c r="NKG94" s="195"/>
      <c r="NKH94" s="195"/>
      <c r="NKI94" s="195"/>
      <c r="NKJ94" s="195"/>
      <c r="NKK94" s="195"/>
      <c r="NKL94" s="195"/>
      <c r="NKM94" s="195"/>
      <c r="NKN94" s="195"/>
      <c r="NKO94" s="195"/>
      <c r="NKP94" s="195"/>
      <c r="NKQ94" s="195"/>
      <c r="NKR94" s="195"/>
      <c r="NKS94" s="195"/>
      <c r="NKT94" s="195"/>
      <c r="NKU94" s="195"/>
      <c r="NKV94" s="195"/>
      <c r="NKW94" s="195"/>
      <c r="NKX94" s="195"/>
      <c r="NKY94" s="195"/>
      <c r="NKZ94" s="195"/>
      <c r="NLA94" s="195"/>
      <c r="NLB94" s="195"/>
      <c r="NLC94" s="195"/>
      <c r="NLD94" s="195"/>
      <c r="NLE94" s="195"/>
      <c r="NLF94" s="195"/>
      <c r="NLG94" s="195"/>
      <c r="NLH94" s="195"/>
      <c r="NLI94" s="195"/>
      <c r="NLJ94" s="195"/>
      <c r="NLK94" s="195"/>
      <c r="NLL94" s="195"/>
      <c r="NLM94" s="195"/>
      <c r="NLN94" s="195"/>
      <c r="NLO94" s="195"/>
      <c r="NLP94" s="195"/>
      <c r="NLQ94" s="195"/>
      <c r="NLR94" s="195"/>
      <c r="NLS94" s="195"/>
      <c r="NLT94" s="195"/>
      <c r="NLU94" s="195"/>
      <c r="NLV94" s="195"/>
      <c r="NLW94" s="195"/>
      <c r="NLX94" s="195"/>
      <c r="NLY94" s="195"/>
      <c r="NLZ94" s="195"/>
      <c r="NMA94" s="195"/>
      <c r="NMB94" s="195"/>
      <c r="NMC94" s="195"/>
      <c r="NMD94" s="195"/>
      <c r="NME94" s="195"/>
      <c r="NMF94" s="195"/>
      <c r="NMG94" s="195"/>
      <c r="NMH94" s="195"/>
      <c r="NMI94" s="195"/>
      <c r="NMJ94" s="195"/>
      <c r="NMK94" s="195"/>
      <c r="NML94" s="195"/>
      <c r="NMM94" s="195"/>
      <c r="NMN94" s="195"/>
      <c r="NMO94" s="195"/>
      <c r="NMP94" s="195"/>
      <c r="NMQ94" s="195"/>
      <c r="NMR94" s="195"/>
      <c r="NMS94" s="195"/>
      <c r="NMT94" s="195"/>
      <c r="NMU94" s="195"/>
      <c r="NMV94" s="195"/>
      <c r="NMW94" s="195"/>
      <c r="NMX94" s="195"/>
      <c r="NMY94" s="195"/>
      <c r="NMZ94" s="195"/>
      <c r="NNA94" s="195"/>
      <c r="NNB94" s="195"/>
      <c r="NNC94" s="195"/>
      <c r="NND94" s="195"/>
      <c r="NNE94" s="195"/>
      <c r="NNF94" s="195"/>
      <c r="NNG94" s="195"/>
      <c r="NNH94" s="195"/>
      <c r="NNI94" s="195"/>
      <c r="NNJ94" s="195"/>
      <c r="NNK94" s="195"/>
      <c r="NNL94" s="195"/>
      <c r="NNM94" s="195"/>
      <c r="NNN94" s="195"/>
      <c r="NNO94" s="195"/>
      <c r="NNP94" s="195"/>
      <c r="NNQ94" s="195"/>
      <c r="NNR94" s="195"/>
      <c r="NNS94" s="195"/>
      <c r="NNT94" s="195"/>
      <c r="NNU94" s="195"/>
      <c r="NNV94" s="195"/>
      <c r="NNW94" s="195"/>
      <c r="NNX94" s="195"/>
      <c r="NNY94" s="195"/>
      <c r="NNZ94" s="195"/>
      <c r="NOA94" s="195"/>
      <c r="NOB94" s="195"/>
      <c r="NOC94" s="195"/>
      <c r="NOD94" s="195"/>
      <c r="NOE94" s="195"/>
      <c r="NOF94" s="195"/>
      <c r="NOG94" s="195"/>
      <c r="NOH94" s="195"/>
      <c r="NOI94" s="195"/>
      <c r="NOJ94" s="195"/>
      <c r="NOK94" s="195"/>
      <c r="NOL94" s="195"/>
      <c r="NOM94" s="195"/>
      <c r="NON94" s="195"/>
      <c r="NOO94" s="195"/>
      <c r="NOP94" s="195"/>
      <c r="NOQ94" s="195"/>
      <c r="NOR94" s="195"/>
      <c r="NOS94" s="195"/>
      <c r="NOT94" s="195"/>
      <c r="NOU94" s="195"/>
      <c r="NOV94" s="195"/>
      <c r="NOW94" s="195"/>
      <c r="NOX94" s="195"/>
      <c r="NOY94" s="195"/>
      <c r="NOZ94" s="195"/>
      <c r="NPA94" s="195"/>
      <c r="NPB94" s="195"/>
      <c r="NPC94" s="195"/>
      <c r="NPD94" s="195"/>
      <c r="NPE94" s="195"/>
      <c r="NPF94" s="195"/>
      <c r="NPG94" s="195"/>
      <c r="NPH94" s="195"/>
      <c r="NPI94" s="195"/>
      <c r="NPJ94" s="195"/>
      <c r="NPK94" s="195"/>
      <c r="NPL94" s="195"/>
      <c r="NPM94" s="195"/>
      <c r="NPN94" s="195"/>
      <c r="NPO94" s="195"/>
      <c r="NPP94" s="195"/>
      <c r="NPQ94" s="195"/>
      <c r="NPR94" s="195"/>
      <c r="NPS94" s="195"/>
      <c r="NPT94" s="195"/>
      <c r="NPU94" s="195"/>
      <c r="NPV94" s="195"/>
      <c r="NPW94" s="195"/>
      <c r="NPX94" s="195"/>
      <c r="NPY94" s="195"/>
      <c r="NPZ94" s="195"/>
      <c r="NQA94" s="195"/>
      <c r="NQB94" s="195"/>
      <c r="NQC94" s="195"/>
      <c r="NQD94" s="195"/>
      <c r="NQE94" s="195"/>
      <c r="NQF94" s="195"/>
      <c r="NQG94" s="195"/>
      <c r="NQH94" s="195"/>
      <c r="NQI94" s="195"/>
      <c r="NQJ94" s="195"/>
      <c r="NQK94" s="195"/>
      <c r="NQL94" s="195"/>
      <c r="NQM94" s="195"/>
      <c r="NQN94" s="195"/>
      <c r="NQO94" s="195"/>
      <c r="NQP94" s="195"/>
      <c r="NQQ94" s="195"/>
      <c r="NQR94" s="195"/>
      <c r="NQS94" s="195"/>
      <c r="NQT94" s="195"/>
      <c r="NQU94" s="195"/>
      <c r="NQV94" s="195"/>
      <c r="NQW94" s="195"/>
      <c r="NQX94" s="195"/>
      <c r="NQY94" s="195"/>
      <c r="NQZ94" s="195"/>
      <c r="NRA94" s="195"/>
      <c r="NRB94" s="195"/>
      <c r="NRC94" s="195"/>
      <c r="NRD94" s="195"/>
      <c r="NRE94" s="195"/>
      <c r="NRF94" s="195"/>
      <c r="NRG94" s="195"/>
      <c r="NRH94" s="195"/>
      <c r="NRI94" s="195"/>
      <c r="NRJ94" s="195"/>
      <c r="NRK94" s="195"/>
      <c r="NRL94" s="195"/>
      <c r="NRM94" s="195"/>
      <c r="NRN94" s="195"/>
      <c r="NRO94" s="195"/>
      <c r="NRP94" s="195"/>
      <c r="NRQ94" s="195"/>
      <c r="NRR94" s="195"/>
      <c r="NRS94" s="195"/>
      <c r="NRT94" s="195"/>
      <c r="NRU94" s="195"/>
      <c r="NRV94" s="195"/>
      <c r="NRW94" s="195"/>
      <c r="NRX94" s="195"/>
      <c r="NRY94" s="195"/>
      <c r="NRZ94" s="195"/>
      <c r="NSA94" s="195"/>
      <c r="NSB94" s="195"/>
      <c r="NSC94" s="195"/>
      <c r="NSD94" s="195"/>
      <c r="NSE94" s="195"/>
      <c r="NSF94" s="195"/>
      <c r="NSG94" s="195"/>
      <c r="NSH94" s="195"/>
      <c r="NSI94" s="195"/>
      <c r="NSJ94" s="195"/>
      <c r="NSK94" s="195"/>
      <c r="NSL94" s="195"/>
      <c r="NSM94" s="195"/>
      <c r="NSN94" s="195"/>
      <c r="NSO94" s="195"/>
      <c r="NSP94" s="195"/>
      <c r="NSQ94" s="195"/>
      <c r="NSR94" s="195"/>
      <c r="NSS94" s="195"/>
      <c r="NST94" s="195"/>
      <c r="NSU94" s="195"/>
      <c r="NSV94" s="195"/>
      <c r="NSW94" s="195"/>
      <c r="NSX94" s="195"/>
      <c r="NSY94" s="195"/>
      <c r="NSZ94" s="195"/>
      <c r="NTA94" s="195"/>
      <c r="NTB94" s="195"/>
      <c r="NTC94" s="195"/>
      <c r="NTD94" s="195"/>
      <c r="NTE94" s="195"/>
      <c r="NTF94" s="195"/>
      <c r="NTG94" s="195"/>
      <c r="NTH94" s="195"/>
      <c r="NTI94" s="195"/>
      <c r="NTJ94" s="195"/>
      <c r="NTK94" s="195"/>
      <c r="NTL94" s="195"/>
      <c r="NTM94" s="195"/>
      <c r="NTN94" s="195"/>
      <c r="NTO94" s="195"/>
      <c r="NTP94" s="195"/>
      <c r="NTQ94" s="195"/>
      <c r="NTR94" s="195"/>
      <c r="NTS94" s="195"/>
      <c r="NTT94" s="195"/>
      <c r="NTU94" s="195"/>
      <c r="NTV94" s="195"/>
      <c r="NTW94" s="195"/>
      <c r="NTX94" s="195"/>
      <c r="NTY94" s="195"/>
      <c r="NTZ94" s="195"/>
      <c r="NUA94" s="195"/>
      <c r="NUB94" s="195"/>
      <c r="NUC94" s="195"/>
      <c r="NUD94" s="195"/>
      <c r="NUE94" s="195"/>
      <c r="NUF94" s="195"/>
      <c r="NUG94" s="195"/>
      <c r="NUH94" s="195"/>
      <c r="NUI94" s="195"/>
      <c r="NUJ94" s="195"/>
      <c r="NUK94" s="195"/>
      <c r="NUL94" s="195"/>
      <c r="NUM94" s="195"/>
      <c r="NUN94" s="195"/>
      <c r="NUO94" s="195"/>
      <c r="NUP94" s="195"/>
      <c r="NUQ94" s="195"/>
      <c r="NUR94" s="195"/>
      <c r="NUS94" s="195"/>
      <c r="NUT94" s="195"/>
      <c r="NUU94" s="195"/>
      <c r="NUV94" s="195"/>
      <c r="NUW94" s="195"/>
      <c r="NUX94" s="195"/>
      <c r="NUY94" s="195"/>
      <c r="NUZ94" s="195"/>
      <c r="NVA94" s="195"/>
      <c r="NVB94" s="195"/>
      <c r="NVC94" s="195"/>
      <c r="NVD94" s="195"/>
      <c r="NVE94" s="195"/>
      <c r="NVF94" s="195"/>
      <c r="NVG94" s="195"/>
      <c r="NVH94" s="195"/>
      <c r="NVI94" s="195"/>
      <c r="NVJ94" s="195"/>
      <c r="NVK94" s="195"/>
      <c r="NVL94" s="195"/>
      <c r="NVM94" s="195"/>
      <c r="NVN94" s="195"/>
      <c r="NVO94" s="195"/>
      <c r="NVP94" s="195"/>
      <c r="NVQ94" s="195"/>
      <c r="NVR94" s="195"/>
      <c r="NVS94" s="195"/>
      <c r="NVT94" s="195"/>
      <c r="NVU94" s="195"/>
      <c r="NVV94" s="195"/>
      <c r="NVW94" s="195"/>
      <c r="NVX94" s="195"/>
      <c r="NVY94" s="195"/>
      <c r="NVZ94" s="195"/>
      <c r="NWA94" s="195"/>
      <c r="NWB94" s="195"/>
      <c r="NWC94" s="195"/>
      <c r="NWD94" s="195"/>
      <c r="NWE94" s="195"/>
      <c r="NWF94" s="195"/>
      <c r="NWG94" s="195"/>
      <c r="NWH94" s="195"/>
      <c r="NWI94" s="195"/>
      <c r="NWJ94" s="195"/>
      <c r="NWK94" s="195"/>
      <c r="NWL94" s="195"/>
      <c r="NWM94" s="195"/>
      <c r="NWN94" s="195"/>
      <c r="NWO94" s="195"/>
      <c r="NWP94" s="195"/>
      <c r="NWQ94" s="195"/>
      <c r="NWR94" s="195"/>
      <c r="NWS94" s="195"/>
      <c r="NWT94" s="195"/>
      <c r="NWU94" s="195"/>
      <c r="NWV94" s="195"/>
      <c r="NWW94" s="195"/>
      <c r="NWX94" s="195"/>
      <c r="NWY94" s="195"/>
      <c r="NWZ94" s="195"/>
      <c r="NXA94" s="195"/>
      <c r="NXB94" s="195"/>
      <c r="NXC94" s="195"/>
      <c r="NXD94" s="195"/>
      <c r="NXE94" s="195"/>
      <c r="NXF94" s="195"/>
      <c r="NXG94" s="195"/>
      <c r="NXH94" s="195"/>
      <c r="NXI94" s="195"/>
      <c r="NXJ94" s="195"/>
      <c r="NXK94" s="195"/>
      <c r="NXL94" s="195"/>
      <c r="NXM94" s="195"/>
      <c r="NXN94" s="195"/>
      <c r="NXO94" s="195"/>
      <c r="NXP94" s="195"/>
      <c r="NXQ94" s="195"/>
      <c r="NXR94" s="195"/>
      <c r="NXS94" s="195"/>
      <c r="NXT94" s="195"/>
      <c r="NXU94" s="195"/>
      <c r="NXV94" s="195"/>
      <c r="NXW94" s="195"/>
      <c r="NXX94" s="195"/>
      <c r="NXY94" s="195"/>
      <c r="NXZ94" s="195"/>
      <c r="NYA94" s="195"/>
      <c r="NYB94" s="195"/>
      <c r="NYC94" s="195"/>
      <c r="NYD94" s="195"/>
      <c r="NYE94" s="195"/>
      <c r="NYF94" s="195"/>
      <c r="NYG94" s="195"/>
      <c r="NYH94" s="195"/>
      <c r="NYI94" s="195"/>
      <c r="NYJ94" s="195"/>
      <c r="NYK94" s="195"/>
      <c r="NYL94" s="195"/>
      <c r="NYM94" s="195"/>
      <c r="NYN94" s="195"/>
      <c r="NYO94" s="195"/>
      <c r="NYP94" s="195"/>
      <c r="NYQ94" s="195"/>
      <c r="NYR94" s="195"/>
      <c r="NYS94" s="195"/>
      <c r="NYT94" s="195"/>
      <c r="NYU94" s="195"/>
      <c r="NYV94" s="195"/>
      <c r="NYW94" s="195"/>
      <c r="NYX94" s="195"/>
      <c r="NYY94" s="195"/>
      <c r="NYZ94" s="195"/>
      <c r="NZA94" s="195"/>
      <c r="NZB94" s="195"/>
      <c r="NZC94" s="195"/>
      <c r="NZD94" s="195"/>
      <c r="NZE94" s="195"/>
      <c r="NZF94" s="195"/>
      <c r="NZG94" s="195"/>
      <c r="NZH94" s="195"/>
      <c r="NZI94" s="195"/>
      <c r="NZJ94" s="195"/>
      <c r="NZK94" s="195"/>
      <c r="NZL94" s="195"/>
      <c r="NZM94" s="195"/>
      <c r="NZN94" s="195"/>
      <c r="NZO94" s="195"/>
      <c r="NZP94" s="195"/>
      <c r="NZQ94" s="195"/>
      <c r="NZR94" s="195"/>
      <c r="NZS94" s="195"/>
      <c r="NZT94" s="195"/>
      <c r="NZU94" s="195"/>
      <c r="NZV94" s="195"/>
      <c r="NZW94" s="195"/>
      <c r="NZX94" s="195"/>
      <c r="NZY94" s="195"/>
      <c r="NZZ94" s="195"/>
      <c r="OAA94" s="195"/>
      <c r="OAB94" s="195"/>
      <c r="OAC94" s="195"/>
      <c r="OAD94" s="195"/>
      <c r="OAE94" s="195"/>
      <c r="OAF94" s="195"/>
      <c r="OAG94" s="195"/>
      <c r="OAH94" s="195"/>
      <c r="OAI94" s="195"/>
      <c r="OAJ94" s="195"/>
      <c r="OAK94" s="195"/>
      <c r="OAL94" s="195"/>
      <c r="OAM94" s="195"/>
      <c r="OAN94" s="195"/>
      <c r="OAO94" s="195"/>
      <c r="OAP94" s="195"/>
      <c r="OAQ94" s="195"/>
      <c r="OAR94" s="195"/>
      <c r="OAS94" s="195"/>
      <c r="OAT94" s="195"/>
      <c r="OAU94" s="195"/>
      <c r="OAV94" s="195"/>
      <c r="OAW94" s="195"/>
      <c r="OAX94" s="195"/>
      <c r="OAY94" s="195"/>
      <c r="OAZ94" s="195"/>
      <c r="OBA94" s="195"/>
      <c r="OBB94" s="195"/>
      <c r="OBC94" s="195"/>
      <c r="OBD94" s="195"/>
      <c r="OBE94" s="195"/>
      <c r="OBF94" s="195"/>
      <c r="OBG94" s="195"/>
      <c r="OBH94" s="195"/>
      <c r="OBI94" s="195"/>
      <c r="OBJ94" s="195"/>
      <c r="OBK94" s="195"/>
      <c r="OBL94" s="195"/>
      <c r="OBM94" s="195"/>
      <c r="OBN94" s="195"/>
      <c r="OBO94" s="195"/>
      <c r="OBP94" s="195"/>
      <c r="OBQ94" s="195"/>
      <c r="OBR94" s="195"/>
      <c r="OBS94" s="195"/>
      <c r="OBT94" s="195"/>
      <c r="OBU94" s="195"/>
      <c r="OBV94" s="195"/>
      <c r="OBW94" s="195"/>
      <c r="OBX94" s="195"/>
      <c r="OBY94" s="195"/>
      <c r="OBZ94" s="195"/>
      <c r="OCA94" s="195"/>
      <c r="OCB94" s="195"/>
      <c r="OCC94" s="195"/>
      <c r="OCD94" s="195"/>
      <c r="OCE94" s="195"/>
      <c r="OCF94" s="195"/>
      <c r="OCG94" s="195"/>
      <c r="OCH94" s="195"/>
      <c r="OCI94" s="195"/>
      <c r="OCJ94" s="195"/>
      <c r="OCK94" s="195"/>
      <c r="OCL94" s="195"/>
      <c r="OCM94" s="195"/>
      <c r="OCN94" s="195"/>
      <c r="OCO94" s="195"/>
      <c r="OCP94" s="195"/>
      <c r="OCQ94" s="195"/>
      <c r="OCR94" s="195"/>
      <c r="OCS94" s="195"/>
      <c r="OCT94" s="195"/>
      <c r="OCU94" s="195"/>
      <c r="OCV94" s="195"/>
      <c r="OCW94" s="195"/>
      <c r="OCX94" s="195"/>
      <c r="OCY94" s="195"/>
      <c r="OCZ94" s="195"/>
      <c r="ODA94" s="195"/>
      <c r="ODB94" s="195"/>
      <c r="ODC94" s="195"/>
      <c r="ODD94" s="195"/>
      <c r="ODE94" s="195"/>
      <c r="ODF94" s="195"/>
      <c r="ODG94" s="195"/>
      <c r="ODH94" s="195"/>
      <c r="ODI94" s="195"/>
      <c r="ODJ94" s="195"/>
      <c r="ODK94" s="195"/>
      <c r="ODL94" s="195"/>
      <c r="ODM94" s="195"/>
      <c r="ODN94" s="195"/>
      <c r="ODO94" s="195"/>
      <c r="ODP94" s="195"/>
      <c r="ODQ94" s="195"/>
      <c r="ODR94" s="195"/>
      <c r="ODS94" s="195"/>
      <c r="ODT94" s="195"/>
      <c r="ODU94" s="195"/>
      <c r="ODV94" s="195"/>
      <c r="ODW94" s="195"/>
      <c r="ODX94" s="195"/>
      <c r="ODY94" s="195"/>
      <c r="ODZ94" s="195"/>
      <c r="OEA94" s="195"/>
      <c r="OEB94" s="195"/>
      <c r="OEC94" s="195"/>
      <c r="OED94" s="195"/>
      <c r="OEE94" s="195"/>
      <c r="OEF94" s="195"/>
      <c r="OEG94" s="195"/>
      <c r="OEH94" s="195"/>
      <c r="OEI94" s="195"/>
      <c r="OEJ94" s="195"/>
      <c r="OEK94" s="195"/>
      <c r="OEL94" s="195"/>
      <c r="OEM94" s="195"/>
      <c r="OEN94" s="195"/>
      <c r="OEO94" s="195"/>
      <c r="OEP94" s="195"/>
      <c r="OEQ94" s="195"/>
      <c r="OER94" s="195"/>
      <c r="OES94" s="195"/>
      <c r="OET94" s="195"/>
      <c r="OEU94" s="195"/>
      <c r="OEV94" s="195"/>
      <c r="OEW94" s="195"/>
      <c r="OEX94" s="195"/>
      <c r="OEY94" s="195"/>
      <c r="OEZ94" s="195"/>
      <c r="OFA94" s="195"/>
      <c r="OFB94" s="195"/>
      <c r="OFC94" s="195"/>
      <c r="OFD94" s="195"/>
      <c r="OFE94" s="195"/>
      <c r="OFF94" s="195"/>
      <c r="OFG94" s="195"/>
      <c r="OFH94" s="195"/>
      <c r="OFI94" s="195"/>
      <c r="OFJ94" s="195"/>
      <c r="OFK94" s="195"/>
      <c r="OFL94" s="195"/>
      <c r="OFM94" s="195"/>
      <c r="OFN94" s="195"/>
      <c r="OFO94" s="195"/>
      <c r="OFP94" s="195"/>
      <c r="OFQ94" s="195"/>
      <c r="OFR94" s="195"/>
      <c r="OFS94" s="195"/>
      <c r="OFT94" s="195"/>
      <c r="OFU94" s="195"/>
      <c r="OFV94" s="195"/>
      <c r="OFW94" s="195"/>
      <c r="OFX94" s="195"/>
      <c r="OFY94" s="195"/>
      <c r="OFZ94" s="195"/>
      <c r="OGA94" s="195"/>
      <c r="OGB94" s="195"/>
      <c r="OGC94" s="195"/>
      <c r="OGD94" s="195"/>
      <c r="OGE94" s="195"/>
      <c r="OGF94" s="195"/>
      <c r="OGG94" s="195"/>
      <c r="OGH94" s="195"/>
      <c r="OGI94" s="195"/>
      <c r="OGJ94" s="195"/>
      <c r="OGK94" s="195"/>
      <c r="OGL94" s="195"/>
      <c r="OGM94" s="195"/>
      <c r="OGN94" s="195"/>
      <c r="OGO94" s="195"/>
      <c r="OGP94" s="195"/>
      <c r="OGQ94" s="195"/>
      <c r="OGR94" s="195"/>
      <c r="OGS94" s="195"/>
      <c r="OGT94" s="195"/>
      <c r="OGU94" s="195"/>
      <c r="OGV94" s="195"/>
      <c r="OGW94" s="195"/>
      <c r="OGX94" s="195"/>
      <c r="OGY94" s="195"/>
      <c r="OGZ94" s="195"/>
      <c r="OHA94" s="195"/>
      <c r="OHB94" s="195"/>
      <c r="OHC94" s="195"/>
      <c r="OHD94" s="195"/>
      <c r="OHE94" s="195"/>
      <c r="OHF94" s="195"/>
      <c r="OHG94" s="195"/>
      <c r="OHH94" s="195"/>
      <c r="OHI94" s="195"/>
      <c r="OHJ94" s="195"/>
      <c r="OHK94" s="195"/>
      <c r="OHL94" s="195"/>
      <c r="OHM94" s="195"/>
      <c r="OHN94" s="195"/>
      <c r="OHO94" s="195"/>
      <c r="OHP94" s="195"/>
      <c r="OHQ94" s="195"/>
      <c r="OHR94" s="195"/>
      <c r="OHS94" s="195"/>
      <c r="OHT94" s="195"/>
      <c r="OHU94" s="195"/>
      <c r="OHV94" s="195"/>
      <c r="OHW94" s="195"/>
      <c r="OHX94" s="195"/>
      <c r="OHY94" s="195"/>
      <c r="OHZ94" s="195"/>
      <c r="OIA94" s="195"/>
      <c r="OIB94" s="195"/>
      <c r="OIC94" s="195"/>
      <c r="OID94" s="195"/>
      <c r="OIE94" s="195"/>
      <c r="OIF94" s="195"/>
      <c r="OIG94" s="195"/>
      <c r="OIH94" s="195"/>
      <c r="OII94" s="195"/>
      <c r="OIJ94" s="195"/>
      <c r="OIK94" s="195"/>
      <c r="OIL94" s="195"/>
      <c r="OIM94" s="195"/>
      <c r="OIN94" s="195"/>
      <c r="OIO94" s="195"/>
      <c r="OIP94" s="195"/>
      <c r="OIQ94" s="195"/>
      <c r="OIR94" s="195"/>
      <c r="OIS94" s="195"/>
      <c r="OIT94" s="195"/>
      <c r="OIU94" s="195"/>
      <c r="OIV94" s="195"/>
      <c r="OIW94" s="195"/>
      <c r="OIX94" s="195"/>
      <c r="OIY94" s="195"/>
      <c r="OIZ94" s="195"/>
      <c r="OJA94" s="195"/>
      <c r="OJB94" s="195"/>
      <c r="OJC94" s="195"/>
      <c r="OJD94" s="195"/>
      <c r="OJE94" s="195"/>
      <c r="OJF94" s="195"/>
      <c r="OJG94" s="195"/>
      <c r="OJH94" s="195"/>
      <c r="OJI94" s="195"/>
      <c r="OJJ94" s="195"/>
      <c r="OJK94" s="195"/>
      <c r="OJL94" s="195"/>
      <c r="OJM94" s="195"/>
      <c r="OJN94" s="195"/>
      <c r="OJO94" s="195"/>
      <c r="OJP94" s="195"/>
      <c r="OJQ94" s="195"/>
      <c r="OJR94" s="195"/>
      <c r="OJS94" s="195"/>
      <c r="OJT94" s="195"/>
      <c r="OJU94" s="195"/>
      <c r="OJV94" s="195"/>
      <c r="OJW94" s="195"/>
      <c r="OJX94" s="195"/>
      <c r="OJY94" s="195"/>
      <c r="OJZ94" s="195"/>
      <c r="OKA94" s="195"/>
      <c r="OKB94" s="195"/>
      <c r="OKC94" s="195"/>
      <c r="OKD94" s="195"/>
      <c r="OKE94" s="195"/>
      <c r="OKF94" s="195"/>
      <c r="OKG94" s="195"/>
      <c r="OKH94" s="195"/>
      <c r="OKI94" s="195"/>
      <c r="OKJ94" s="195"/>
      <c r="OKK94" s="195"/>
      <c r="OKL94" s="195"/>
      <c r="OKM94" s="195"/>
      <c r="OKN94" s="195"/>
      <c r="OKO94" s="195"/>
      <c r="OKP94" s="195"/>
      <c r="OKQ94" s="195"/>
      <c r="OKR94" s="195"/>
      <c r="OKS94" s="195"/>
      <c r="OKT94" s="195"/>
      <c r="OKU94" s="195"/>
      <c r="OKV94" s="195"/>
      <c r="OKW94" s="195"/>
      <c r="OKX94" s="195"/>
      <c r="OKY94" s="195"/>
      <c r="OKZ94" s="195"/>
      <c r="OLA94" s="195"/>
      <c r="OLB94" s="195"/>
      <c r="OLC94" s="195"/>
      <c r="OLD94" s="195"/>
      <c r="OLE94" s="195"/>
      <c r="OLF94" s="195"/>
      <c r="OLG94" s="195"/>
      <c r="OLH94" s="195"/>
      <c r="OLI94" s="195"/>
      <c r="OLJ94" s="195"/>
      <c r="OLK94" s="195"/>
      <c r="OLL94" s="195"/>
      <c r="OLM94" s="195"/>
      <c r="OLN94" s="195"/>
      <c r="OLO94" s="195"/>
      <c r="OLP94" s="195"/>
      <c r="OLQ94" s="195"/>
      <c r="OLR94" s="195"/>
      <c r="OLS94" s="195"/>
      <c r="OLT94" s="195"/>
      <c r="OLU94" s="195"/>
      <c r="OLV94" s="195"/>
      <c r="OLW94" s="195"/>
      <c r="OLX94" s="195"/>
      <c r="OLY94" s="195"/>
      <c r="OLZ94" s="195"/>
      <c r="OMA94" s="195"/>
      <c r="OMB94" s="195"/>
      <c r="OMC94" s="195"/>
      <c r="OMD94" s="195"/>
      <c r="OME94" s="195"/>
      <c r="OMF94" s="195"/>
      <c r="OMG94" s="195"/>
      <c r="OMH94" s="195"/>
      <c r="OMI94" s="195"/>
      <c r="OMJ94" s="195"/>
      <c r="OMK94" s="195"/>
      <c r="OML94" s="195"/>
      <c r="OMM94" s="195"/>
      <c r="OMN94" s="195"/>
      <c r="OMO94" s="195"/>
      <c r="OMP94" s="195"/>
      <c r="OMQ94" s="195"/>
      <c r="OMR94" s="195"/>
      <c r="OMS94" s="195"/>
      <c r="OMT94" s="195"/>
      <c r="OMU94" s="195"/>
      <c r="OMV94" s="195"/>
      <c r="OMW94" s="195"/>
      <c r="OMX94" s="195"/>
      <c r="OMY94" s="195"/>
      <c r="OMZ94" s="195"/>
      <c r="ONA94" s="195"/>
      <c r="ONB94" s="195"/>
      <c r="ONC94" s="195"/>
      <c r="OND94" s="195"/>
      <c r="ONE94" s="195"/>
      <c r="ONF94" s="195"/>
      <c r="ONG94" s="195"/>
      <c r="ONH94" s="195"/>
      <c r="ONI94" s="195"/>
      <c r="ONJ94" s="195"/>
      <c r="ONK94" s="195"/>
      <c r="ONL94" s="195"/>
      <c r="ONM94" s="195"/>
      <c r="ONN94" s="195"/>
      <c r="ONO94" s="195"/>
      <c r="ONP94" s="195"/>
      <c r="ONQ94" s="195"/>
      <c r="ONR94" s="195"/>
      <c r="ONS94" s="195"/>
      <c r="ONT94" s="195"/>
      <c r="ONU94" s="195"/>
      <c r="ONV94" s="195"/>
      <c r="ONW94" s="195"/>
      <c r="ONX94" s="195"/>
      <c r="ONY94" s="195"/>
      <c r="ONZ94" s="195"/>
      <c r="OOA94" s="195"/>
      <c r="OOB94" s="195"/>
      <c r="OOC94" s="195"/>
      <c r="OOD94" s="195"/>
      <c r="OOE94" s="195"/>
      <c r="OOF94" s="195"/>
      <c r="OOG94" s="195"/>
      <c r="OOH94" s="195"/>
      <c r="OOI94" s="195"/>
      <c r="OOJ94" s="195"/>
      <c r="OOK94" s="195"/>
      <c r="OOL94" s="195"/>
      <c r="OOM94" s="195"/>
      <c r="OON94" s="195"/>
      <c r="OOO94" s="195"/>
      <c r="OOP94" s="195"/>
      <c r="OOQ94" s="195"/>
      <c r="OOR94" s="195"/>
      <c r="OOS94" s="195"/>
      <c r="OOT94" s="195"/>
      <c r="OOU94" s="195"/>
      <c r="OOV94" s="195"/>
      <c r="OOW94" s="195"/>
      <c r="OOX94" s="195"/>
      <c r="OOY94" s="195"/>
      <c r="OOZ94" s="195"/>
      <c r="OPA94" s="195"/>
      <c r="OPB94" s="195"/>
      <c r="OPC94" s="195"/>
      <c r="OPD94" s="195"/>
      <c r="OPE94" s="195"/>
      <c r="OPF94" s="195"/>
      <c r="OPG94" s="195"/>
      <c r="OPH94" s="195"/>
      <c r="OPI94" s="195"/>
      <c r="OPJ94" s="195"/>
      <c r="OPK94" s="195"/>
      <c r="OPL94" s="195"/>
      <c r="OPM94" s="195"/>
      <c r="OPN94" s="195"/>
      <c r="OPO94" s="195"/>
      <c r="OPP94" s="195"/>
      <c r="OPQ94" s="195"/>
      <c r="OPR94" s="195"/>
      <c r="OPS94" s="195"/>
      <c r="OPT94" s="195"/>
      <c r="OPU94" s="195"/>
      <c r="OPV94" s="195"/>
      <c r="OPW94" s="195"/>
      <c r="OPX94" s="195"/>
      <c r="OPY94" s="195"/>
      <c r="OPZ94" s="195"/>
      <c r="OQA94" s="195"/>
      <c r="OQB94" s="195"/>
      <c r="OQC94" s="195"/>
      <c r="OQD94" s="195"/>
      <c r="OQE94" s="195"/>
      <c r="OQF94" s="195"/>
      <c r="OQG94" s="195"/>
      <c r="OQH94" s="195"/>
      <c r="OQI94" s="195"/>
      <c r="OQJ94" s="195"/>
      <c r="OQK94" s="195"/>
      <c r="OQL94" s="195"/>
      <c r="OQM94" s="195"/>
      <c r="OQN94" s="195"/>
      <c r="OQO94" s="195"/>
      <c r="OQP94" s="195"/>
      <c r="OQQ94" s="195"/>
      <c r="OQR94" s="195"/>
      <c r="OQS94" s="195"/>
      <c r="OQT94" s="195"/>
      <c r="OQU94" s="195"/>
      <c r="OQV94" s="195"/>
      <c r="OQW94" s="195"/>
      <c r="OQX94" s="195"/>
      <c r="OQY94" s="195"/>
      <c r="OQZ94" s="195"/>
      <c r="ORA94" s="195"/>
      <c r="ORB94" s="195"/>
      <c r="ORC94" s="195"/>
      <c r="ORD94" s="195"/>
      <c r="ORE94" s="195"/>
      <c r="ORF94" s="195"/>
      <c r="ORG94" s="195"/>
      <c r="ORH94" s="195"/>
      <c r="ORI94" s="195"/>
      <c r="ORJ94" s="195"/>
      <c r="ORK94" s="195"/>
      <c r="ORL94" s="195"/>
      <c r="ORM94" s="195"/>
      <c r="ORN94" s="195"/>
      <c r="ORO94" s="195"/>
      <c r="ORP94" s="195"/>
      <c r="ORQ94" s="195"/>
      <c r="ORR94" s="195"/>
      <c r="ORS94" s="195"/>
      <c r="ORT94" s="195"/>
      <c r="ORU94" s="195"/>
      <c r="ORV94" s="195"/>
      <c r="ORW94" s="195"/>
      <c r="ORX94" s="195"/>
      <c r="ORY94" s="195"/>
      <c r="ORZ94" s="195"/>
      <c r="OSA94" s="195"/>
      <c r="OSB94" s="195"/>
      <c r="OSC94" s="195"/>
      <c r="OSD94" s="195"/>
      <c r="OSE94" s="195"/>
      <c r="OSF94" s="195"/>
      <c r="OSG94" s="195"/>
      <c r="OSH94" s="195"/>
      <c r="OSI94" s="195"/>
      <c r="OSJ94" s="195"/>
      <c r="OSK94" s="195"/>
      <c r="OSL94" s="195"/>
      <c r="OSM94" s="195"/>
      <c r="OSN94" s="195"/>
      <c r="OSO94" s="195"/>
      <c r="OSP94" s="195"/>
      <c r="OSQ94" s="195"/>
      <c r="OSR94" s="195"/>
      <c r="OSS94" s="195"/>
      <c r="OST94" s="195"/>
      <c r="OSU94" s="195"/>
      <c r="OSV94" s="195"/>
      <c r="OSW94" s="195"/>
      <c r="OSX94" s="195"/>
      <c r="OSY94" s="195"/>
      <c r="OSZ94" s="195"/>
      <c r="OTA94" s="195"/>
      <c r="OTB94" s="195"/>
      <c r="OTC94" s="195"/>
      <c r="OTD94" s="195"/>
      <c r="OTE94" s="195"/>
      <c r="OTF94" s="195"/>
      <c r="OTG94" s="195"/>
      <c r="OTH94" s="195"/>
      <c r="OTI94" s="195"/>
      <c r="OTJ94" s="195"/>
      <c r="OTK94" s="195"/>
      <c r="OTL94" s="195"/>
      <c r="OTM94" s="195"/>
      <c r="OTN94" s="195"/>
      <c r="OTO94" s="195"/>
      <c r="OTP94" s="195"/>
      <c r="OTQ94" s="195"/>
      <c r="OTR94" s="195"/>
      <c r="OTS94" s="195"/>
      <c r="OTT94" s="195"/>
      <c r="OTU94" s="195"/>
      <c r="OTV94" s="195"/>
      <c r="OTW94" s="195"/>
      <c r="OTX94" s="195"/>
      <c r="OTY94" s="195"/>
      <c r="OTZ94" s="195"/>
      <c r="OUA94" s="195"/>
      <c r="OUB94" s="195"/>
      <c r="OUC94" s="195"/>
      <c r="OUD94" s="195"/>
      <c r="OUE94" s="195"/>
      <c r="OUF94" s="195"/>
      <c r="OUG94" s="195"/>
      <c r="OUH94" s="195"/>
      <c r="OUI94" s="195"/>
      <c r="OUJ94" s="195"/>
      <c r="OUK94" s="195"/>
      <c r="OUL94" s="195"/>
      <c r="OUM94" s="195"/>
      <c r="OUN94" s="195"/>
      <c r="OUO94" s="195"/>
      <c r="OUP94" s="195"/>
      <c r="OUQ94" s="195"/>
      <c r="OUR94" s="195"/>
      <c r="OUS94" s="195"/>
      <c r="OUT94" s="195"/>
      <c r="OUU94" s="195"/>
      <c r="OUV94" s="195"/>
      <c r="OUW94" s="195"/>
      <c r="OUX94" s="195"/>
      <c r="OUY94" s="195"/>
      <c r="OUZ94" s="195"/>
      <c r="OVA94" s="195"/>
      <c r="OVB94" s="195"/>
      <c r="OVC94" s="195"/>
      <c r="OVD94" s="195"/>
      <c r="OVE94" s="195"/>
      <c r="OVF94" s="195"/>
      <c r="OVG94" s="195"/>
      <c r="OVH94" s="195"/>
      <c r="OVI94" s="195"/>
      <c r="OVJ94" s="195"/>
      <c r="OVK94" s="195"/>
      <c r="OVL94" s="195"/>
      <c r="OVM94" s="195"/>
      <c r="OVN94" s="195"/>
      <c r="OVO94" s="195"/>
      <c r="OVP94" s="195"/>
      <c r="OVQ94" s="195"/>
      <c r="OVR94" s="195"/>
      <c r="OVS94" s="195"/>
      <c r="OVT94" s="195"/>
      <c r="OVU94" s="195"/>
      <c r="OVV94" s="195"/>
      <c r="OVW94" s="195"/>
      <c r="OVX94" s="195"/>
      <c r="OVY94" s="195"/>
      <c r="OVZ94" s="195"/>
      <c r="OWA94" s="195"/>
      <c r="OWB94" s="195"/>
      <c r="OWC94" s="195"/>
      <c r="OWD94" s="195"/>
      <c r="OWE94" s="195"/>
      <c r="OWF94" s="195"/>
      <c r="OWG94" s="195"/>
      <c r="OWH94" s="195"/>
      <c r="OWI94" s="195"/>
      <c r="OWJ94" s="195"/>
      <c r="OWK94" s="195"/>
      <c r="OWL94" s="195"/>
      <c r="OWM94" s="195"/>
      <c r="OWN94" s="195"/>
      <c r="OWO94" s="195"/>
      <c r="OWP94" s="195"/>
      <c r="OWQ94" s="195"/>
      <c r="OWR94" s="195"/>
      <c r="OWS94" s="195"/>
      <c r="OWT94" s="195"/>
      <c r="OWU94" s="195"/>
      <c r="OWV94" s="195"/>
      <c r="OWW94" s="195"/>
      <c r="OWX94" s="195"/>
      <c r="OWY94" s="195"/>
      <c r="OWZ94" s="195"/>
      <c r="OXA94" s="195"/>
      <c r="OXB94" s="195"/>
      <c r="OXC94" s="195"/>
      <c r="OXD94" s="195"/>
      <c r="OXE94" s="195"/>
      <c r="OXF94" s="195"/>
      <c r="OXG94" s="195"/>
      <c r="OXH94" s="195"/>
      <c r="OXI94" s="195"/>
      <c r="OXJ94" s="195"/>
      <c r="OXK94" s="195"/>
      <c r="OXL94" s="195"/>
      <c r="OXM94" s="195"/>
      <c r="OXN94" s="195"/>
      <c r="OXO94" s="195"/>
      <c r="OXP94" s="195"/>
      <c r="OXQ94" s="195"/>
      <c r="OXR94" s="195"/>
      <c r="OXS94" s="195"/>
      <c r="OXT94" s="195"/>
      <c r="OXU94" s="195"/>
      <c r="OXV94" s="195"/>
      <c r="OXW94" s="195"/>
      <c r="OXX94" s="195"/>
      <c r="OXY94" s="195"/>
      <c r="OXZ94" s="195"/>
      <c r="OYA94" s="195"/>
      <c r="OYB94" s="195"/>
      <c r="OYC94" s="195"/>
      <c r="OYD94" s="195"/>
      <c r="OYE94" s="195"/>
      <c r="OYF94" s="195"/>
      <c r="OYG94" s="195"/>
      <c r="OYH94" s="195"/>
      <c r="OYI94" s="195"/>
      <c r="OYJ94" s="195"/>
      <c r="OYK94" s="195"/>
      <c r="OYL94" s="195"/>
      <c r="OYM94" s="195"/>
      <c r="OYN94" s="195"/>
      <c r="OYO94" s="195"/>
      <c r="OYP94" s="195"/>
      <c r="OYQ94" s="195"/>
      <c r="OYR94" s="195"/>
      <c r="OYS94" s="195"/>
      <c r="OYT94" s="195"/>
      <c r="OYU94" s="195"/>
      <c r="OYV94" s="195"/>
      <c r="OYW94" s="195"/>
      <c r="OYX94" s="195"/>
      <c r="OYY94" s="195"/>
      <c r="OYZ94" s="195"/>
      <c r="OZA94" s="195"/>
      <c r="OZB94" s="195"/>
      <c r="OZC94" s="195"/>
      <c r="OZD94" s="195"/>
      <c r="OZE94" s="195"/>
      <c r="OZF94" s="195"/>
      <c r="OZG94" s="195"/>
      <c r="OZH94" s="195"/>
      <c r="OZI94" s="195"/>
      <c r="OZJ94" s="195"/>
      <c r="OZK94" s="195"/>
      <c r="OZL94" s="195"/>
      <c r="OZM94" s="195"/>
      <c r="OZN94" s="195"/>
      <c r="OZO94" s="195"/>
      <c r="OZP94" s="195"/>
      <c r="OZQ94" s="195"/>
      <c r="OZR94" s="195"/>
      <c r="OZS94" s="195"/>
      <c r="OZT94" s="195"/>
      <c r="OZU94" s="195"/>
      <c r="OZV94" s="195"/>
      <c r="OZW94" s="195"/>
      <c r="OZX94" s="195"/>
      <c r="OZY94" s="195"/>
      <c r="OZZ94" s="195"/>
      <c r="PAA94" s="195"/>
      <c r="PAB94" s="195"/>
      <c r="PAC94" s="195"/>
      <c r="PAD94" s="195"/>
      <c r="PAE94" s="195"/>
      <c r="PAF94" s="195"/>
      <c r="PAG94" s="195"/>
      <c r="PAH94" s="195"/>
      <c r="PAI94" s="195"/>
      <c r="PAJ94" s="195"/>
      <c r="PAK94" s="195"/>
      <c r="PAL94" s="195"/>
      <c r="PAM94" s="195"/>
      <c r="PAN94" s="195"/>
      <c r="PAO94" s="195"/>
      <c r="PAP94" s="195"/>
      <c r="PAQ94" s="195"/>
      <c r="PAR94" s="195"/>
      <c r="PAS94" s="195"/>
      <c r="PAT94" s="195"/>
      <c r="PAU94" s="195"/>
      <c r="PAV94" s="195"/>
      <c r="PAW94" s="195"/>
      <c r="PAX94" s="195"/>
      <c r="PAY94" s="195"/>
      <c r="PAZ94" s="195"/>
      <c r="PBA94" s="195"/>
      <c r="PBB94" s="195"/>
      <c r="PBC94" s="195"/>
      <c r="PBD94" s="195"/>
      <c r="PBE94" s="195"/>
      <c r="PBF94" s="195"/>
      <c r="PBG94" s="195"/>
      <c r="PBH94" s="195"/>
      <c r="PBI94" s="195"/>
      <c r="PBJ94" s="195"/>
      <c r="PBK94" s="195"/>
      <c r="PBL94" s="195"/>
      <c r="PBM94" s="195"/>
      <c r="PBN94" s="195"/>
      <c r="PBO94" s="195"/>
      <c r="PBP94" s="195"/>
      <c r="PBQ94" s="195"/>
      <c r="PBR94" s="195"/>
      <c r="PBS94" s="195"/>
      <c r="PBT94" s="195"/>
      <c r="PBU94" s="195"/>
      <c r="PBV94" s="195"/>
      <c r="PBW94" s="195"/>
      <c r="PBX94" s="195"/>
      <c r="PBY94" s="195"/>
      <c r="PBZ94" s="195"/>
      <c r="PCA94" s="195"/>
      <c r="PCB94" s="195"/>
      <c r="PCC94" s="195"/>
      <c r="PCD94" s="195"/>
      <c r="PCE94" s="195"/>
      <c r="PCF94" s="195"/>
      <c r="PCG94" s="195"/>
      <c r="PCH94" s="195"/>
      <c r="PCI94" s="195"/>
      <c r="PCJ94" s="195"/>
      <c r="PCK94" s="195"/>
      <c r="PCL94" s="195"/>
      <c r="PCM94" s="195"/>
      <c r="PCN94" s="195"/>
      <c r="PCO94" s="195"/>
      <c r="PCP94" s="195"/>
      <c r="PCQ94" s="195"/>
      <c r="PCR94" s="195"/>
      <c r="PCS94" s="195"/>
      <c r="PCT94" s="195"/>
      <c r="PCU94" s="195"/>
      <c r="PCV94" s="195"/>
      <c r="PCW94" s="195"/>
      <c r="PCX94" s="195"/>
      <c r="PCY94" s="195"/>
      <c r="PCZ94" s="195"/>
      <c r="PDA94" s="195"/>
      <c r="PDB94" s="195"/>
      <c r="PDC94" s="195"/>
      <c r="PDD94" s="195"/>
      <c r="PDE94" s="195"/>
      <c r="PDF94" s="195"/>
      <c r="PDG94" s="195"/>
      <c r="PDH94" s="195"/>
      <c r="PDI94" s="195"/>
      <c r="PDJ94" s="195"/>
      <c r="PDK94" s="195"/>
      <c r="PDL94" s="195"/>
      <c r="PDM94" s="195"/>
      <c r="PDN94" s="195"/>
      <c r="PDO94" s="195"/>
      <c r="PDP94" s="195"/>
      <c r="PDQ94" s="195"/>
      <c r="PDR94" s="195"/>
      <c r="PDS94" s="195"/>
      <c r="PDT94" s="195"/>
      <c r="PDU94" s="195"/>
      <c r="PDV94" s="195"/>
      <c r="PDW94" s="195"/>
      <c r="PDX94" s="195"/>
      <c r="PDY94" s="195"/>
      <c r="PDZ94" s="195"/>
      <c r="PEA94" s="195"/>
      <c r="PEB94" s="195"/>
      <c r="PEC94" s="195"/>
      <c r="PED94" s="195"/>
      <c r="PEE94" s="195"/>
      <c r="PEF94" s="195"/>
      <c r="PEG94" s="195"/>
      <c r="PEH94" s="195"/>
      <c r="PEI94" s="195"/>
      <c r="PEJ94" s="195"/>
      <c r="PEK94" s="195"/>
      <c r="PEL94" s="195"/>
      <c r="PEM94" s="195"/>
      <c r="PEN94" s="195"/>
      <c r="PEO94" s="195"/>
      <c r="PEP94" s="195"/>
      <c r="PEQ94" s="195"/>
      <c r="PER94" s="195"/>
      <c r="PES94" s="195"/>
      <c r="PET94" s="195"/>
      <c r="PEU94" s="195"/>
      <c r="PEV94" s="195"/>
      <c r="PEW94" s="195"/>
      <c r="PEX94" s="195"/>
      <c r="PEY94" s="195"/>
      <c r="PEZ94" s="195"/>
      <c r="PFA94" s="195"/>
      <c r="PFB94" s="195"/>
      <c r="PFC94" s="195"/>
      <c r="PFD94" s="195"/>
      <c r="PFE94" s="195"/>
      <c r="PFF94" s="195"/>
      <c r="PFG94" s="195"/>
      <c r="PFH94" s="195"/>
      <c r="PFI94" s="195"/>
      <c r="PFJ94" s="195"/>
      <c r="PFK94" s="195"/>
      <c r="PFL94" s="195"/>
      <c r="PFM94" s="195"/>
      <c r="PFN94" s="195"/>
      <c r="PFO94" s="195"/>
      <c r="PFP94" s="195"/>
      <c r="PFQ94" s="195"/>
      <c r="PFR94" s="195"/>
      <c r="PFS94" s="195"/>
      <c r="PFT94" s="195"/>
      <c r="PFU94" s="195"/>
      <c r="PFV94" s="195"/>
      <c r="PFW94" s="195"/>
      <c r="PFX94" s="195"/>
      <c r="PFY94" s="195"/>
      <c r="PFZ94" s="195"/>
      <c r="PGA94" s="195"/>
      <c r="PGB94" s="195"/>
      <c r="PGC94" s="195"/>
      <c r="PGD94" s="195"/>
      <c r="PGE94" s="195"/>
      <c r="PGF94" s="195"/>
      <c r="PGG94" s="195"/>
      <c r="PGH94" s="195"/>
      <c r="PGI94" s="195"/>
      <c r="PGJ94" s="195"/>
      <c r="PGK94" s="195"/>
      <c r="PGL94" s="195"/>
      <c r="PGM94" s="195"/>
      <c r="PGN94" s="195"/>
      <c r="PGO94" s="195"/>
      <c r="PGP94" s="195"/>
      <c r="PGQ94" s="195"/>
      <c r="PGR94" s="195"/>
      <c r="PGS94" s="195"/>
      <c r="PGT94" s="195"/>
      <c r="PGU94" s="195"/>
      <c r="PGV94" s="195"/>
      <c r="PGW94" s="195"/>
      <c r="PGX94" s="195"/>
      <c r="PGY94" s="195"/>
      <c r="PGZ94" s="195"/>
      <c r="PHA94" s="195"/>
      <c r="PHB94" s="195"/>
      <c r="PHC94" s="195"/>
      <c r="PHD94" s="195"/>
      <c r="PHE94" s="195"/>
      <c r="PHF94" s="195"/>
      <c r="PHG94" s="195"/>
      <c r="PHH94" s="195"/>
      <c r="PHI94" s="195"/>
      <c r="PHJ94" s="195"/>
      <c r="PHK94" s="195"/>
      <c r="PHL94" s="195"/>
      <c r="PHM94" s="195"/>
      <c r="PHN94" s="195"/>
      <c r="PHO94" s="195"/>
      <c r="PHP94" s="195"/>
      <c r="PHQ94" s="195"/>
      <c r="PHR94" s="195"/>
      <c r="PHS94" s="195"/>
      <c r="PHT94" s="195"/>
      <c r="PHU94" s="195"/>
      <c r="PHV94" s="195"/>
      <c r="PHW94" s="195"/>
      <c r="PHX94" s="195"/>
      <c r="PHY94" s="195"/>
      <c r="PHZ94" s="195"/>
      <c r="PIA94" s="195"/>
      <c r="PIB94" s="195"/>
      <c r="PIC94" s="195"/>
      <c r="PID94" s="195"/>
      <c r="PIE94" s="195"/>
      <c r="PIF94" s="195"/>
      <c r="PIG94" s="195"/>
      <c r="PIH94" s="195"/>
      <c r="PII94" s="195"/>
      <c r="PIJ94" s="195"/>
      <c r="PIK94" s="195"/>
      <c r="PIL94" s="195"/>
      <c r="PIM94" s="195"/>
      <c r="PIN94" s="195"/>
      <c r="PIO94" s="195"/>
      <c r="PIP94" s="195"/>
      <c r="PIQ94" s="195"/>
      <c r="PIR94" s="195"/>
      <c r="PIS94" s="195"/>
      <c r="PIT94" s="195"/>
      <c r="PIU94" s="195"/>
      <c r="PIV94" s="195"/>
      <c r="PIW94" s="195"/>
      <c r="PIX94" s="195"/>
      <c r="PIY94" s="195"/>
      <c r="PIZ94" s="195"/>
      <c r="PJA94" s="195"/>
      <c r="PJB94" s="195"/>
      <c r="PJC94" s="195"/>
      <c r="PJD94" s="195"/>
      <c r="PJE94" s="195"/>
      <c r="PJF94" s="195"/>
      <c r="PJG94" s="195"/>
      <c r="PJH94" s="195"/>
      <c r="PJI94" s="195"/>
      <c r="PJJ94" s="195"/>
      <c r="PJK94" s="195"/>
      <c r="PJL94" s="195"/>
      <c r="PJM94" s="195"/>
      <c r="PJN94" s="195"/>
      <c r="PJO94" s="195"/>
      <c r="PJP94" s="195"/>
      <c r="PJQ94" s="195"/>
      <c r="PJR94" s="195"/>
      <c r="PJS94" s="195"/>
      <c r="PJT94" s="195"/>
      <c r="PJU94" s="195"/>
      <c r="PJV94" s="195"/>
      <c r="PJW94" s="195"/>
      <c r="PJX94" s="195"/>
      <c r="PJY94" s="195"/>
      <c r="PJZ94" s="195"/>
      <c r="PKA94" s="195"/>
      <c r="PKB94" s="195"/>
      <c r="PKC94" s="195"/>
      <c r="PKD94" s="195"/>
      <c r="PKE94" s="195"/>
      <c r="PKF94" s="195"/>
      <c r="PKG94" s="195"/>
      <c r="PKH94" s="195"/>
      <c r="PKI94" s="195"/>
      <c r="PKJ94" s="195"/>
      <c r="PKK94" s="195"/>
      <c r="PKL94" s="195"/>
      <c r="PKM94" s="195"/>
      <c r="PKN94" s="195"/>
      <c r="PKO94" s="195"/>
      <c r="PKP94" s="195"/>
      <c r="PKQ94" s="195"/>
      <c r="PKR94" s="195"/>
      <c r="PKS94" s="195"/>
      <c r="PKT94" s="195"/>
      <c r="PKU94" s="195"/>
      <c r="PKV94" s="195"/>
      <c r="PKW94" s="195"/>
      <c r="PKX94" s="195"/>
      <c r="PKY94" s="195"/>
      <c r="PKZ94" s="195"/>
      <c r="PLA94" s="195"/>
      <c r="PLB94" s="195"/>
      <c r="PLC94" s="195"/>
      <c r="PLD94" s="195"/>
      <c r="PLE94" s="195"/>
      <c r="PLF94" s="195"/>
      <c r="PLG94" s="195"/>
      <c r="PLH94" s="195"/>
      <c r="PLI94" s="195"/>
      <c r="PLJ94" s="195"/>
      <c r="PLK94" s="195"/>
      <c r="PLL94" s="195"/>
      <c r="PLM94" s="195"/>
      <c r="PLN94" s="195"/>
      <c r="PLO94" s="195"/>
      <c r="PLP94" s="195"/>
      <c r="PLQ94" s="195"/>
      <c r="PLR94" s="195"/>
      <c r="PLS94" s="195"/>
      <c r="PLT94" s="195"/>
      <c r="PLU94" s="195"/>
      <c r="PLV94" s="195"/>
      <c r="PLW94" s="195"/>
      <c r="PLX94" s="195"/>
      <c r="PLY94" s="195"/>
      <c r="PLZ94" s="195"/>
      <c r="PMA94" s="195"/>
      <c r="PMB94" s="195"/>
      <c r="PMC94" s="195"/>
      <c r="PMD94" s="195"/>
      <c r="PME94" s="195"/>
      <c r="PMF94" s="195"/>
      <c r="PMG94" s="195"/>
      <c r="PMH94" s="195"/>
      <c r="PMI94" s="195"/>
      <c r="PMJ94" s="195"/>
      <c r="PMK94" s="195"/>
      <c r="PML94" s="195"/>
      <c r="PMM94" s="195"/>
      <c r="PMN94" s="195"/>
      <c r="PMO94" s="195"/>
      <c r="PMP94" s="195"/>
      <c r="PMQ94" s="195"/>
      <c r="PMR94" s="195"/>
      <c r="PMS94" s="195"/>
      <c r="PMT94" s="195"/>
      <c r="PMU94" s="195"/>
      <c r="PMV94" s="195"/>
      <c r="PMW94" s="195"/>
      <c r="PMX94" s="195"/>
      <c r="PMY94" s="195"/>
      <c r="PMZ94" s="195"/>
      <c r="PNA94" s="195"/>
      <c r="PNB94" s="195"/>
      <c r="PNC94" s="195"/>
      <c r="PND94" s="195"/>
      <c r="PNE94" s="195"/>
      <c r="PNF94" s="195"/>
      <c r="PNG94" s="195"/>
      <c r="PNH94" s="195"/>
      <c r="PNI94" s="195"/>
      <c r="PNJ94" s="195"/>
      <c r="PNK94" s="195"/>
      <c r="PNL94" s="195"/>
      <c r="PNM94" s="195"/>
      <c r="PNN94" s="195"/>
      <c r="PNO94" s="195"/>
      <c r="PNP94" s="195"/>
      <c r="PNQ94" s="195"/>
      <c r="PNR94" s="195"/>
      <c r="PNS94" s="195"/>
      <c r="PNT94" s="195"/>
      <c r="PNU94" s="195"/>
      <c r="PNV94" s="195"/>
      <c r="PNW94" s="195"/>
      <c r="PNX94" s="195"/>
      <c r="PNY94" s="195"/>
      <c r="PNZ94" s="195"/>
      <c r="POA94" s="195"/>
      <c r="POB94" s="195"/>
      <c r="POC94" s="195"/>
      <c r="POD94" s="195"/>
      <c r="POE94" s="195"/>
      <c r="POF94" s="195"/>
      <c r="POG94" s="195"/>
      <c r="POH94" s="195"/>
      <c r="POI94" s="195"/>
      <c r="POJ94" s="195"/>
      <c r="POK94" s="195"/>
      <c r="POL94" s="195"/>
      <c r="POM94" s="195"/>
      <c r="PON94" s="195"/>
      <c r="POO94" s="195"/>
      <c r="POP94" s="195"/>
      <c r="POQ94" s="195"/>
      <c r="POR94" s="195"/>
      <c r="POS94" s="195"/>
      <c r="POT94" s="195"/>
      <c r="POU94" s="195"/>
      <c r="POV94" s="195"/>
      <c r="POW94" s="195"/>
      <c r="POX94" s="195"/>
      <c r="POY94" s="195"/>
      <c r="POZ94" s="195"/>
      <c r="PPA94" s="195"/>
      <c r="PPB94" s="195"/>
      <c r="PPC94" s="195"/>
      <c r="PPD94" s="195"/>
      <c r="PPE94" s="195"/>
      <c r="PPF94" s="195"/>
      <c r="PPG94" s="195"/>
      <c r="PPH94" s="195"/>
      <c r="PPI94" s="195"/>
      <c r="PPJ94" s="195"/>
      <c r="PPK94" s="195"/>
      <c r="PPL94" s="195"/>
      <c r="PPM94" s="195"/>
      <c r="PPN94" s="195"/>
      <c r="PPO94" s="195"/>
      <c r="PPP94" s="195"/>
      <c r="PPQ94" s="195"/>
      <c r="PPR94" s="195"/>
      <c r="PPS94" s="195"/>
      <c r="PPT94" s="195"/>
      <c r="PPU94" s="195"/>
      <c r="PPV94" s="195"/>
      <c r="PPW94" s="195"/>
      <c r="PPX94" s="195"/>
      <c r="PPY94" s="195"/>
      <c r="PPZ94" s="195"/>
      <c r="PQA94" s="195"/>
      <c r="PQB94" s="195"/>
      <c r="PQC94" s="195"/>
      <c r="PQD94" s="195"/>
      <c r="PQE94" s="195"/>
      <c r="PQF94" s="195"/>
      <c r="PQG94" s="195"/>
      <c r="PQH94" s="195"/>
      <c r="PQI94" s="195"/>
      <c r="PQJ94" s="195"/>
      <c r="PQK94" s="195"/>
      <c r="PQL94" s="195"/>
      <c r="PQM94" s="195"/>
      <c r="PQN94" s="195"/>
      <c r="PQO94" s="195"/>
      <c r="PQP94" s="195"/>
      <c r="PQQ94" s="195"/>
      <c r="PQR94" s="195"/>
      <c r="PQS94" s="195"/>
      <c r="PQT94" s="195"/>
      <c r="PQU94" s="195"/>
      <c r="PQV94" s="195"/>
      <c r="PQW94" s="195"/>
      <c r="PQX94" s="195"/>
      <c r="PQY94" s="195"/>
      <c r="PQZ94" s="195"/>
      <c r="PRA94" s="195"/>
      <c r="PRB94" s="195"/>
      <c r="PRC94" s="195"/>
      <c r="PRD94" s="195"/>
      <c r="PRE94" s="195"/>
      <c r="PRF94" s="195"/>
      <c r="PRG94" s="195"/>
      <c r="PRH94" s="195"/>
      <c r="PRI94" s="195"/>
      <c r="PRJ94" s="195"/>
      <c r="PRK94" s="195"/>
      <c r="PRL94" s="195"/>
      <c r="PRM94" s="195"/>
      <c r="PRN94" s="195"/>
      <c r="PRO94" s="195"/>
      <c r="PRP94" s="195"/>
      <c r="PRQ94" s="195"/>
      <c r="PRR94" s="195"/>
      <c r="PRS94" s="195"/>
      <c r="PRT94" s="195"/>
      <c r="PRU94" s="195"/>
      <c r="PRV94" s="195"/>
      <c r="PRW94" s="195"/>
      <c r="PRX94" s="195"/>
      <c r="PRY94" s="195"/>
      <c r="PRZ94" s="195"/>
      <c r="PSA94" s="195"/>
      <c r="PSB94" s="195"/>
      <c r="PSC94" s="195"/>
      <c r="PSD94" s="195"/>
      <c r="PSE94" s="195"/>
      <c r="PSF94" s="195"/>
      <c r="PSG94" s="195"/>
      <c r="PSH94" s="195"/>
      <c r="PSI94" s="195"/>
      <c r="PSJ94" s="195"/>
      <c r="PSK94" s="195"/>
      <c r="PSL94" s="195"/>
      <c r="PSM94" s="195"/>
      <c r="PSN94" s="195"/>
      <c r="PSO94" s="195"/>
      <c r="PSP94" s="195"/>
      <c r="PSQ94" s="195"/>
      <c r="PSR94" s="195"/>
      <c r="PSS94" s="195"/>
      <c r="PST94" s="195"/>
      <c r="PSU94" s="195"/>
      <c r="PSV94" s="195"/>
      <c r="PSW94" s="195"/>
      <c r="PSX94" s="195"/>
      <c r="PSY94" s="195"/>
      <c r="PSZ94" s="195"/>
      <c r="PTA94" s="195"/>
      <c r="PTB94" s="195"/>
      <c r="PTC94" s="195"/>
      <c r="PTD94" s="195"/>
      <c r="PTE94" s="195"/>
      <c r="PTF94" s="195"/>
      <c r="PTG94" s="195"/>
      <c r="PTH94" s="195"/>
      <c r="PTI94" s="195"/>
      <c r="PTJ94" s="195"/>
      <c r="PTK94" s="195"/>
      <c r="PTL94" s="195"/>
      <c r="PTM94" s="195"/>
      <c r="PTN94" s="195"/>
      <c r="PTO94" s="195"/>
      <c r="PTP94" s="195"/>
      <c r="PTQ94" s="195"/>
      <c r="PTR94" s="195"/>
      <c r="PTS94" s="195"/>
      <c r="PTT94" s="195"/>
      <c r="PTU94" s="195"/>
      <c r="PTV94" s="195"/>
      <c r="PTW94" s="195"/>
      <c r="PTX94" s="195"/>
      <c r="PTY94" s="195"/>
      <c r="PTZ94" s="195"/>
      <c r="PUA94" s="195"/>
      <c r="PUB94" s="195"/>
      <c r="PUC94" s="195"/>
      <c r="PUD94" s="195"/>
      <c r="PUE94" s="195"/>
      <c r="PUF94" s="195"/>
      <c r="PUG94" s="195"/>
      <c r="PUH94" s="195"/>
      <c r="PUI94" s="195"/>
      <c r="PUJ94" s="195"/>
      <c r="PUK94" s="195"/>
      <c r="PUL94" s="195"/>
      <c r="PUM94" s="195"/>
      <c r="PUN94" s="195"/>
      <c r="PUO94" s="195"/>
      <c r="PUP94" s="195"/>
      <c r="PUQ94" s="195"/>
      <c r="PUR94" s="195"/>
      <c r="PUS94" s="195"/>
      <c r="PUT94" s="195"/>
      <c r="PUU94" s="195"/>
      <c r="PUV94" s="195"/>
      <c r="PUW94" s="195"/>
      <c r="PUX94" s="195"/>
      <c r="PUY94" s="195"/>
      <c r="PUZ94" s="195"/>
      <c r="PVA94" s="195"/>
      <c r="PVB94" s="195"/>
      <c r="PVC94" s="195"/>
      <c r="PVD94" s="195"/>
      <c r="PVE94" s="195"/>
      <c r="PVF94" s="195"/>
      <c r="PVG94" s="195"/>
      <c r="PVH94" s="195"/>
      <c r="PVI94" s="195"/>
      <c r="PVJ94" s="195"/>
      <c r="PVK94" s="195"/>
      <c r="PVL94" s="195"/>
      <c r="PVM94" s="195"/>
      <c r="PVN94" s="195"/>
      <c r="PVO94" s="195"/>
      <c r="PVP94" s="195"/>
      <c r="PVQ94" s="195"/>
      <c r="PVR94" s="195"/>
      <c r="PVS94" s="195"/>
      <c r="PVT94" s="195"/>
      <c r="PVU94" s="195"/>
      <c r="PVV94" s="195"/>
      <c r="PVW94" s="195"/>
      <c r="PVX94" s="195"/>
      <c r="PVY94" s="195"/>
      <c r="PVZ94" s="195"/>
      <c r="PWA94" s="195"/>
      <c r="PWB94" s="195"/>
      <c r="PWC94" s="195"/>
      <c r="PWD94" s="195"/>
      <c r="PWE94" s="195"/>
      <c r="PWF94" s="195"/>
      <c r="PWG94" s="195"/>
      <c r="PWH94" s="195"/>
      <c r="PWI94" s="195"/>
      <c r="PWJ94" s="195"/>
      <c r="PWK94" s="195"/>
      <c r="PWL94" s="195"/>
      <c r="PWM94" s="195"/>
      <c r="PWN94" s="195"/>
      <c r="PWO94" s="195"/>
      <c r="PWP94" s="195"/>
      <c r="PWQ94" s="195"/>
      <c r="PWR94" s="195"/>
      <c r="PWS94" s="195"/>
      <c r="PWT94" s="195"/>
      <c r="PWU94" s="195"/>
      <c r="PWV94" s="195"/>
      <c r="PWW94" s="195"/>
      <c r="PWX94" s="195"/>
      <c r="PWY94" s="195"/>
      <c r="PWZ94" s="195"/>
      <c r="PXA94" s="195"/>
      <c r="PXB94" s="195"/>
      <c r="PXC94" s="195"/>
      <c r="PXD94" s="195"/>
      <c r="PXE94" s="195"/>
      <c r="PXF94" s="195"/>
      <c r="PXG94" s="195"/>
      <c r="PXH94" s="195"/>
      <c r="PXI94" s="195"/>
      <c r="PXJ94" s="195"/>
      <c r="PXK94" s="195"/>
      <c r="PXL94" s="195"/>
      <c r="PXM94" s="195"/>
      <c r="PXN94" s="195"/>
      <c r="PXO94" s="195"/>
      <c r="PXP94" s="195"/>
      <c r="PXQ94" s="195"/>
      <c r="PXR94" s="195"/>
      <c r="PXS94" s="195"/>
      <c r="PXT94" s="195"/>
      <c r="PXU94" s="195"/>
      <c r="PXV94" s="195"/>
      <c r="PXW94" s="195"/>
      <c r="PXX94" s="195"/>
      <c r="PXY94" s="195"/>
      <c r="PXZ94" s="195"/>
      <c r="PYA94" s="195"/>
      <c r="PYB94" s="195"/>
      <c r="PYC94" s="195"/>
      <c r="PYD94" s="195"/>
      <c r="PYE94" s="195"/>
      <c r="PYF94" s="195"/>
      <c r="PYG94" s="195"/>
      <c r="PYH94" s="195"/>
      <c r="PYI94" s="195"/>
      <c r="PYJ94" s="195"/>
      <c r="PYK94" s="195"/>
      <c r="PYL94" s="195"/>
      <c r="PYM94" s="195"/>
      <c r="PYN94" s="195"/>
      <c r="PYO94" s="195"/>
      <c r="PYP94" s="195"/>
      <c r="PYQ94" s="195"/>
      <c r="PYR94" s="195"/>
      <c r="PYS94" s="195"/>
      <c r="PYT94" s="195"/>
      <c r="PYU94" s="195"/>
      <c r="PYV94" s="195"/>
      <c r="PYW94" s="195"/>
      <c r="PYX94" s="195"/>
      <c r="PYY94" s="195"/>
      <c r="PYZ94" s="195"/>
      <c r="PZA94" s="195"/>
      <c r="PZB94" s="195"/>
      <c r="PZC94" s="195"/>
      <c r="PZD94" s="195"/>
      <c r="PZE94" s="195"/>
      <c r="PZF94" s="195"/>
      <c r="PZG94" s="195"/>
      <c r="PZH94" s="195"/>
      <c r="PZI94" s="195"/>
      <c r="PZJ94" s="195"/>
      <c r="PZK94" s="195"/>
      <c r="PZL94" s="195"/>
      <c r="PZM94" s="195"/>
      <c r="PZN94" s="195"/>
      <c r="PZO94" s="195"/>
      <c r="PZP94" s="195"/>
      <c r="PZQ94" s="195"/>
      <c r="PZR94" s="195"/>
      <c r="PZS94" s="195"/>
      <c r="PZT94" s="195"/>
      <c r="PZU94" s="195"/>
      <c r="PZV94" s="195"/>
      <c r="PZW94" s="195"/>
      <c r="PZX94" s="195"/>
      <c r="PZY94" s="195"/>
      <c r="PZZ94" s="195"/>
      <c r="QAA94" s="195"/>
      <c r="QAB94" s="195"/>
      <c r="QAC94" s="195"/>
      <c r="QAD94" s="195"/>
      <c r="QAE94" s="195"/>
      <c r="QAF94" s="195"/>
      <c r="QAG94" s="195"/>
      <c r="QAH94" s="195"/>
      <c r="QAI94" s="195"/>
      <c r="QAJ94" s="195"/>
      <c r="QAK94" s="195"/>
      <c r="QAL94" s="195"/>
      <c r="QAM94" s="195"/>
      <c r="QAN94" s="195"/>
      <c r="QAO94" s="195"/>
      <c r="QAP94" s="195"/>
      <c r="QAQ94" s="195"/>
      <c r="QAR94" s="195"/>
      <c r="QAS94" s="195"/>
      <c r="QAT94" s="195"/>
      <c r="QAU94" s="195"/>
      <c r="QAV94" s="195"/>
      <c r="QAW94" s="195"/>
      <c r="QAX94" s="195"/>
      <c r="QAY94" s="195"/>
      <c r="QAZ94" s="195"/>
      <c r="QBA94" s="195"/>
      <c r="QBB94" s="195"/>
      <c r="QBC94" s="195"/>
      <c r="QBD94" s="195"/>
      <c r="QBE94" s="195"/>
      <c r="QBF94" s="195"/>
      <c r="QBG94" s="195"/>
      <c r="QBH94" s="195"/>
      <c r="QBI94" s="195"/>
      <c r="QBJ94" s="195"/>
      <c r="QBK94" s="195"/>
      <c r="QBL94" s="195"/>
      <c r="QBM94" s="195"/>
      <c r="QBN94" s="195"/>
      <c r="QBO94" s="195"/>
      <c r="QBP94" s="195"/>
      <c r="QBQ94" s="195"/>
      <c r="QBR94" s="195"/>
      <c r="QBS94" s="195"/>
      <c r="QBT94" s="195"/>
      <c r="QBU94" s="195"/>
      <c r="QBV94" s="195"/>
      <c r="QBW94" s="195"/>
      <c r="QBX94" s="195"/>
      <c r="QBY94" s="195"/>
      <c r="QBZ94" s="195"/>
      <c r="QCA94" s="195"/>
      <c r="QCB94" s="195"/>
      <c r="QCC94" s="195"/>
      <c r="QCD94" s="195"/>
      <c r="QCE94" s="195"/>
      <c r="QCF94" s="195"/>
      <c r="QCG94" s="195"/>
      <c r="QCH94" s="195"/>
      <c r="QCI94" s="195"/>
      <c r="QCJ94" s="195"/>
      <c r="QCK94" s="195"/>
      <c r="QCL94" s="195"/>
      <c r="QCM94" s="195"/>
      <c r="QCN94" s="195"/>
      <c r="QCO94" s="195"/>
      <c r="QCP94" s="195"/>
      <c r="QCQ94" s="195"/>
      <c r="QCR94" s="195"/>
      <c r="QCS94" s="195"/>
      <c r="QCT94" s="195"/>
      <c r="QCU94" s="195"/>
      <c r="QCV94" s="195"/>
      <c r="QCW94" s="195"/>
      <c r="QCX94" s="195"/>
      <c r="QCY94" s="195"/>
      <c r="QCZ94" s="195"/>
      <c r="QDA94" s="195"/>
      <c r="QDB94" s="195"/>
      <c r="QDC94" s="195"/>
      <c r="QDD94" s="195"/>
      <c r="QDE94" s="195"/>
      <c r="QDF94" s="195"/>
      <c r="QDG94" s="195"/>
      <c r="QDH94" s="195"/>
      <c r="QDI94" s="195"/>
      <c r="QDJ94" s="195"/>
      <c r="QDK94" s="195"/>
      <c r="QDL94" s="195"/>
      <c r="QDM94" s="195"/>
      <c r="QDN94" s="195"/>
      <c r="QDO94" s="195"/>
      <c r="QDP94" s="195"/>
      <c r="QDQ94" s="195"/>
      <c r="QDR94" s="195"/>
      <c r="QDS94" s="195"/>
      <c r="QDT94" s="195"/>
      <c r="QDU94" s="195"/>
      <c r="QDV94" s="195"/>
      <c r="QDW94" s="195"/>
      <c r="QDX94" s="195"/>
      <c r="QDY94" s="195"/>
      <c r="QDZ94" s="195"/>
      <c r="QEA94" s="195"/>
      <c r="QEB94" s="195"/>
      <c r="QEC94" s="195"/>
      <c r="QED94" s="195"/>
      <c r="QEE94" s="195"/>
      <c r="QEF94" s="195"/>
      <c r="QEG94" s="195"/>
      <c r="QEH94" s="195"/>
      <c r="QEI94" s="195"/>
      <c r="QEJ94" s="195"/>
      <c r="QEK94" s="195"/>
      <c r="QEL94" s="195"/>
      <c r="QEM94" s="195"/>
      <c r="QEN94" s="195"/>
      <c r="QEO94" s="195"/>
      <c r="QEP94" s="195"/>
      <c r="QEQ94" s="195"/>
      <c r="QER94" s="195"/>
      <c r="QES94" s="195"/>
      <c r="QET94" s="195"/>
      <c r="QEU94" s="195"/>
      <c r="QEV94" s="195"/>
      <c r="QEW94" s="195"/>
      <c r="QEX94" s="195"/>
      <c r="QEY94" s="195"/>
      <c r="QEZ94" s="195"/>
      <c r="QFA94" s="195"/>
      <c r="QFB94" s="195"/>
      <c r="QFC94" s="195"/>
      <c r="QFD94" s="195"/>
      <c r="QFE94" s="195"/>
      <c r="QFF94" s="195"/>
      <c r="QFG94" s="195"/>
      <c r="QFH94" s="195"/>
      <c r="QFI94" s="195"/>
      <c r="QFJ94" s="195"/>
      <c r="QFK94" s="195"/>
      <c r="QFL94" s="195"/>
      <c r="QFM94" s="195"/>
      <c r="QFN94" s="195"/>
      <c r="QFO94" s="195"/>
      <c r="QFP94" s="195"/>
      <c r="QFQ94" s="195"/>
      <c r="QFR94" s="195"/>
      <c r="QFS94" s="195"/>
      <c r="QFT94" s="195"/>
      <c r="QFU94" s="195"/>
      <c r="QFV94" s="195"/>
      <c r="QFW94" s="195"/>
      <c r="QFX94" s="195"/>
      <c r="QFY94" s="195"/>
      <c r="QFZ94" s="195"/>
      <c r="QGA94" s="195"/>
      <c r="QGB94" s="195"/>
      <c r="QGC94" s="195"/>
      <c r="QGD94" s="195"/>
      <c r="QGE94" s="195"/>
      <c r="QGF94" s="195"/>
      <c r="QGG94" s="195"/>
      <c r="QGH94" s="195"/>
      <c r="QGI94" s="195"/>
      <c r="QGJ94" s="195"/>
      <c r="QGK94" s="195"/>
      <c r="QGL94" s="195"/>
      <c r="QGM94" s="195"/>
      <c r="QGN94" s="195"/>
      <c r="QGO94" s="195"/>
      <c r="QGP94" s="195"/>
      <c r="QGQ94" s="195"/>
      <c r="QGR94" s="195"/>
      <c r="QGS94" s="195"/>
      <c r="QGT94" s="195"/>
      <c r="QGU94" s="195"/>
      <c r="QGV94" s="195"/>
      <c r="QGW94" s="195"/>
      <c r="QGX94" s="195"/>
      <c r="QGY94" s="195"/>
      <c r="QGZ94" s="195"/>
      <c r="QHA94" s="195"/>
      <c r="QHB94" s="195"/>
      <c r="QHC94" s="195"/>
      <c r="QHD94" s="195"/>
      <c r="QHE94" s="195"/>
      <c r="QHF94" s="195"/>
      <c r="QHG94" s="195"/>
      <c r="QHH94" s="195"/>
      <c r="QHI94" s="195"/>
      <c r="QHJ94" s="195"/>
      <c r="QHK94" s="195"/>
      <c r="QHL94" s="195"/>
      <c r="QHM94" s="195"/>
      <c r="QHN94" s="195"/>
      <c r="QHO94" s="195"/>
      <c r="QHP94" s="195"/>
      <c r="QHQ94" s="195"/>
      <c r="QHR94" s="195"/>
      <c r="QHS94" s="195"/>
      <c r="QHT94" s="195"/>
      <c r="QHU94" s="195"/>
      <c r="QHV94" s="195"/>
      <c r="QHW94" s="195"/>
      <c r="QHX94" s="195"/>
      <c r="QHY94" s="195"/>
      <c r="QHZ94" s="195"/>
      <c r="QIA94" s="195"/>
      <c r="QIB94" s="195"/>
      <c r="QIC94" s="195"/>
      <c r="QID94" s="195"/>
      <c r="QIE94" s="195"/>
      <c r="QIF94" s="195"/>
      <c r="QIG94" s="195"/>
      <c r="QIH94" s="195"/>
      <c r="QII94" s="195"/>
      <c r="QIJ94" s="195"/>
      <c r="QIK94" s="195"/>
      <c r="QIL94" s="195"/>
      <c r="QIM94" s="195"/>
      <c r="QIN94" s="195"/>
      <c r="QIO94" s="195"/>
      <c r="QIP94" s="195"/>
      <c r="QIQ94" s="195"/>
      <c r="QIR94" s="195"/>
      <c r="QIS94" s="195"/>
      <c r="QIT94" s="195"/>
      <c r="QIU94" s="195"/>
      <c r="QIV94" s="195"/>
      <c r="QIW94" s="195"/>
      <c r="QIX94" s="195"/>
      <c r="QIY94" s="195"/>
      <c r="QIZ94" s="195"/>
      <c r="QJA94" s="195"/>
      <c r="QJB94" s="195"/>
      <c r="QJC94" s="195"/>
      <c r="QJD94" s="195"/>
      <c r="QJE94" s="195"/>
      <c r="QJF94" s="195"/>
      <c r="QJG94" s="195"/>
      <c r="QJH94" s="195"/>
      <c r="QJI94" s="195"/>
      <c r="QJJ94" s="195"/>
      <c r="QJK94" s="195"/>
      <c r="QJL94" s="195"/>
      <c r="QJM94" s="195"/>
      <c r="QJN94" s="195"/>
      <c r="QJO94" s="195"/>
      <c r="QJP94" s="195"/>
      <c r="QJQ94" s="195"/>
      <c r="QJR94" s="195"/>
      <c r="QJS94" s="195"/>
      <c r="QJT94" s="195"/>
      <c r="QJU94" s="195"/>
      <c r="QJV94" s="195"/>
      <c r="QJW94" s="195"/>
      <c r="QJX94" s="195"/>
      <c r="QJY94" s="195"/>
      <c r="QJZ94" s="195"/>
      <c r="QKA94" s="195"/>
      <c r="QKB94" s="195"/>
      <c r="QKC94" s="195"/>
      <c r="QKD94" s="195"/>
      <c r="QKE94" s="195"/>
      <c r="QKF94" s="195"/>
      <c r="QKG94" s="195"/>
      <c r="QKH94" s="195"/>
      <c r="QKI94" s="195"/>
      <c r="QKJ94" s="195"/>
      <c r="QKK94" s="195"/>
      <c r="QKL94" s="195"/>
      <c r="QKM94" s="195"/>
      <c r="QKN94" s="195"/>
      <c r="QKO94" s="195"/>
      <c r="QKP94" s="195"/>
      <c r="QKQ94" s="195"/>
      <c r="QKR94" s="195"/>
      <c r="QKS94" s="195"/>
      <c r="QKT94" s="195"/>
      <c r="QKU94" s="195"/>
      <c r="QKV94" s="195"/>
      <c r="QKW94" s="195"/>
      <c r="QKX94" s="195"/>
      <c r="QKY94" s="195"/>
      <c r="QKZ94" s="195"/>
      <c r="QLA94" s="195"/>
      <c r="QLB94" s="195"/>
      <c r="QLC94" s="195"/>
      <c r="QLD94" s="195"/>
      <c r="QLE94" s="195"/>
      <c r="QLF94" s="195"/>
      <c r="QLG94" s="195"/>
      <c r="QLH94" s="195"/>
      <c r="QLI94" s="195"/>
      <c r="QLJ94" s="195"/>
      <c r="QLK94" s="195"/>
      <c r="QLL94" s="195"/>
      <c r="QLM94" s="195"/>
      <c r="QLN94" s="195"/>
      <c r="QLO94" s="195"/>
      <c r="QLP94" s="195"/>
      <c r="QLQ94" s="195"/>
      <c r="QLR94" s="195"/>
      <c r="QLS94" s="195"/>
      <c r="QLT94" s="195"/>
      <c r="QLU94" s="195"/>
      <c r="QLV94" s="195"/>
      <c r="QLW94" s="195"/>
      <c r="QLX94" s="195"/>
      <c r="QLY94" s="195"/>
      <c r="QLZ94" s="195"/>
      <c r="QMA94" s="195"/>
      <c r="QMB94" s="195"/>
      <c r="QMC94" s="195"/>
      <c r="QMD94" s="195"/>
      <c r="QME94" s="195"/>
      <c r="QMF94" s="195"/>
      <c r="QMG94" s="195"/>
      <c r="QMH94" s="195"/>
      <c r="QMI94" s="195"/>
      <c r="QMJ94" s="195"/>
      <c r="QMK94" s="195"/>
      <c r="QML94" s="195"/>
      <c r="QMM94" s="195"/>
      <c r="QMN94" s="195"/>
      <c r="QMO94" s="195"/>
      <c r="QMP94" s="195"/>
      <c r="QMQ94" s="195"/>
      <c r="QMR94" s="195"/>
      <c r="QMS94" s="195"/>
      <c r="QMT94" s="195"/>
      <c r="QMU94" s="195"/>
      <c r="QMV94" s="195"/>
      <c r="QMW94" s="195"/>
      <c r="QMX94" s="195"/>
      <c r="QMY94" s="195"/>
      <c r="QMZ94" s="195"/>
      <c r="QNA94" s="195"/>
      <c r="QNB94" s="195"/>
      <c r="QNC94" s="195"/>
      <c r="QND94" s="195"/>
      <c r="QNE94" s="195"/>
      <c r="QNF94" s="195"/>
      <c r="QNG94" s="195"/>
      <c r="QNH94" s="195"/>
      <c r="QNI94" s="195"/>
      <c r="QNJ94" s="195"/>
      <c r="QNK94" s="195"/>
      <c r="QNL94" s="195"/>
      <c r="QNM94" s="195"/>
      <c r="QNN94" s="195"/>
      <c r="QNO94" s="195"/>
      <c r="QNP94" s="195"/>
      <c r="QNQ94" s="195"/>
      <c r="QNR94" s="195"/>
      <c r="QNS94" s="195"/>
      <c r="QNT94" s="195"/>
      <c r="QNU94" s="195"/>
      <c r="QNV94" s="195"/>
      <c r="QNW94" s="195"/>
      <c r="QNX94" s="195"/>
      <c r="QNY94" s="195"/>
      <c r="QNZ94" s="195"/>
      <c r="QOA94" s="195"/>
      <c r="QOB94" s="195"/>
      <c r="QOC94" s="195"/>
      <c r="QOD94" s="195"/>
      <c r="QOE94" s="195"/>
      <c r="QOF94" s="195"/>
      <c r="QOG94" s="195"/>
      <c r="QOH94" s="195"/>
      <c r="QOI94" s="195"/>
      <c r="QOJ94" s="195"/>
      <c r="QOK94" s="195"/>
      <c r="QOL94" s="195"/>
      <c r="QOM94" s="195"/>
      <c r="QON94" s="195"/>
      <c r="QOO94" s="195"/>
      <c r="QOP94" s="195"/>
      <c r="QOQ94" s="195"/>
      <c r="QOR94" s="195"/>
      <c r="QOS94" s="195"/>
      <c r="QOT94" s="195"/>
      <c r="QOU94" s="195"/>
      <c r="QOV94" s="195"/>
      <c r="QOW94" s="195"/>
      <c r="QOX94" s="195"/>
      <c r="QOY94" s="195"/>
      <c r="QOZ94" s="195"/>
      <c r="QPA94" s="195"/>
      <c r="QPB94" s="195"/>
      <c r="QPC94" s="195"/>
      <c r="QPD94" s="195"/>
      <c r="QPE94" s="195"/>
      <c r="QPF94" s="195"/>
      <c r="QPG94" s="195"/>
      <c r="QPH94" s="195"/>
      <c r="QPI94" s="195"/>
      <c r="QPJ94" s="195"/>
      <c r="QPK94" s="195"/>
      <c r="QPL94" s="195"/>
      <c r="QPM94" s="195"/>
      <c r="QPN94" s="195"/>
      <c r="QPO94" s="195"/>
      <c r="QPP94" s="195"/>
      <c r="QPQ94" s="195"/>
      <c r="QPR94" s="195"/>
      <c r="QPS94" s="195"/>
      <c r="QPT94" s="195"/>
      <c r="QPU94" s="195"/>
      <c r="QPV94" s="195"/>
      <c r="QPW94" s="195"/>
      <c r="QPX94" s="195"/>
      <c r="QPY94" s="195"/>
      <c r="QPZ94" s="195"/>
      <c r="QQA94" s="195"/>
      <c r="QQB94" s="195"/>
      <c r="QQC94" s="195"/>
      <c r="QQD94" s="195"/>
      <c r="QQE94" s="195"/>
      <c r="QQF94" s="195"/>
      <c r="QQG94" s="195"/>
      <c r="QQH94" s="195"/>
      <c r="QQI94" s="195"/>
      <c r="QQJ94" s="195"/>
      <c r="QQK94" s="195"/>
      <c r="QQL94" s="195"/>
      <c r="QQM94" s="195"/>
      <c r="QQN94" s="195"/>
      <c r="QQO94" s="195"/>
      <c r="QQP94" s="195"/>
      <c r="QQQ94" s="195"/>
      <c r="QQR94" s="195"/>
      <c r="QQS94" s="195"/>
      <c r="QQT94" s="195"/>
      <c r="QQU94" s="195"/>
      <c r="QQV94" s="195"/>
      <c r="QQW94" s="195"/>
      <c r="QQX94" s="195"/>
      <c r="QQY94" s="195"/>
      <c r="QQZ94" s="195"/>
      <c r="QRA94" s="195"/>
      <c r="QRB94" s="195"/>
      <c r="QRC94" s="195"/>
      <c r="QRD94" s="195"/>
      <c r="QRE94" s="195"/>
      <c r="QRF94" s="195"/>
      <c r="QRG94" s="195"/>
      <c r="QRH94" s="195"/>
      <c r="QRI94" s="195"/>
      <c r="QRJ94" s="195"/>
      <c r="QRK94" s="195"/>
      <c r="QRL94" s="195"/>
      <c r="QRM94" s="195"/>
      <c r="QRN94" s="195"/>
      <c r="QRO94" s="195"/>
      <c r="QRP94" s="195"/>
      <c r="QRQ94" s="195"/>
      <c r="QRR94" s="195"/>
      <c r="QRS94" s="195"/>
      <c r="QRT94" s="195"/>
      <c r="QRU94" s="195"/>
      <c r="QRV94" s="195"/>
      <c r="QRW94" s="195"/>
      <c r="QRX94" s="195"/>
      <c r="QRY94" s="195"/>
      <c r="QRZ94" s="195"/>
      <c r="QSA94" s="195"/>
      <c r="QSB94" s="195"/>
      <c r="QSC94" s="195"/>
      <c r="QSD94" s="195"/>
      <c r="QSE94" s="195"/>
      <c r="QSF94" s="195"/>
      <c r="QSG94" s="195"/>
      <c r="QSH94" s="195"/>
      <c r="QSI94" s="195"/>
      <c r="QSJ94" s="195"/>
      <c r="QSK94" s="195"/>
      <c r="QSL94" s="195"/>
      <c r="QSM94" s="195"/>
      <c r="QSN94" s="195"/>
      <c r="QSO94" s="195"/>
      <c r="QSP94" s="195"/>
      <c r="QSQ94" s="195"/>
      <c r="QSR94" s="195"/>
      <c r="QSS94" s="195"/>
      <c r="QST94" s="195"/>
      <c r="QSU94" s="195"/>
      <c r="QSV94" s="195"/>
      <c r="QSW94" s="195"/>
      <c r="QSX94" s="195"/>
      <c r="QSY94" s="195"/>
      <c r="QSZ94" s="195"/>
      <c r="QTA94" s="195"/>
      <c r="QTB94" s="195"/>
      <c r="QTC94" s="195"/>
      <c r="QTD94" s="195"/>
      <c r="QTE94" s="195"/>
      <c r="QTF94" s="195"/>
      <c r="QTG94" s="195"/>
      <c r="QTH94" s="195"/>
      <c r="QTI94" s="195"/>
      <c r="QTJ94" s="195"/>
      <c r="QTK94" s="195"/>
      <c r="QTL94" s="195"/>
      <c r="QTM94" s="195"/>
      <c r="QTN94" s="195"/>
      <c r="QTO94" s="195"/>
      <c r="QTP94" s="195"/>
      <c r="QTQ94" s="195"/>
      <c r="QTR94" s="195"/>
      <c r="QTS94" s="195"/>
      <c r="QTT94" s="195"/>
      <c r="QTU94" s="195"/>
      <c r="QTV94" s="195"/>
      <c r="QTW94" s="195"/>
      <c r="QTX94" s="195"/>
      <c r="QTY94" s="195"/>
      <c r="QTZ94" s="195"/>
      <c r="QUA94" s="195"/>
      <c r="QUB94" s="195"/>
      <c r="QUC94" s="195"/>
      <c r="QUD94" s="195"/>
      <c r="QUE94" s="195"/>
      <c r="QUF94" s="195"/>
      <c r="QUG94" s="195"/>
      <c r="QUH94" s="195"/>
      <c r="QUI94" s="195"/>
      <c r="QUJ94" s="195"/>
      <c r="QUK94" s="195"/>
      <c r="QUL94" s="195"/>
      <c r="QUM94" s="195"/>
      <c r="QUN94" s="195"/>
      <c r="QUO94" s="195"/>
      <c r="QUP94" s="195"/>
      <c r="QUQ94" s="195"/>
      <c r="QUR94" s="195"/>
      <c r="QUS94" s="195"/>
      <c r="QUT94" s="195"/>
      <c r="QUU94" s="195"/>
      <c r="QUV94" s="195"/>
      <c r="QUW94" s="195"/>
      <c r="QUX94" s="195"/>
      <c r="QUY94" s="195"/>
      <c r="QUZ94" s="195"/>
      <c r="QVA94" s="195"/>
      <c r="QVB94" s="195"/>
      <c r="QVC94" s="195"/>
      <c r="QVD94" s="195"/>
      <c r="QVE94" s="195"/>
      <c r="QVF94" s="195"/>
      <c r="QVG94" s="195"/>
      <c r="QVH94" s="195"/>
      <c r="QVI94" s="195"/>
      <c r="QVJ94" s="195"/>
      <c r="QVK94" s="195"/>
      <c r="QVL94" s="195"/>
      <c r="QVM94" s="195"/>
      <c r="QVN94" s="195"/>
      <c r="QVO94" s="195"/>
      <c r="QVP94" s="195"/>
      <c r="QVQ94" s="195"/>
      <c r="QVR94" s="195"/>
      <c r="QVS94" s="195"/>
      <c r="QVT94" s="195"/>
      <c r="QVU94" s="195"/>
      <c r="QVV94" s="195"/>
      <c r="QVW94" s="195"/>
      <c r="QVX94" s="195"/>
      <c r="QVY94" s="195"/>
      <c r="QVZ94" s="195"/>
      <c r="QWA94" s="195"/>
      <c r="QWB94" s="195"/>
      <c r="QWC94" s="195"/>
      <c r="QWD94" s="195"/>
      <c r="QWE94" s="195"/>
      <c r="QWF94" s="195"/>
      <c r="QWG94" s="195"/>
      <c r="QWH94" s="195"/>
      <c r="QWI94" s="195"/>
      <c r="QWJ94" s="195"/>
      <c r="QWK94" s="195"/>
      <c r="QWL94" s="195"/>
      <c r="QWM94" s="195"/>
      <c r="QWN94" s="195"/>
      <c r="QWO94" s="195"/>
      <c r="QWP94" s="195"/>
      <c r="QWQ94" s="195"/>
      <c r="QWR94" s="195"/>
      <c r="QWS94" s="195"/>
      <c r="QWT94" s="195"/>
      <c r="QWU94" s="195"/>
      <c r="QWV94" s="195"/>
      <c r="QWW94" s="195"/>
      <c r="QWX94" s="195"/>
      <c r="QWY94" s="195"/>
      <c r="QWZ94" s="195"/>
      <c r="QXA94" s="195"/>
      <c r="QXB94" s="195"/>
      <c r="QXC94" s="195"/>
      <c r="QXD94" s="195"/>
      <c r="QXE94" s="195"/>
      <c r="QXF94" s="195"/>
      <c r="QXG94" s="195"/>
      <c r="QXH94" s="195"/>
      <c r="QXI94" s="195"/>
      <c r="QXJ94" s="195"/>
      <c r="QXK94" s="195"/>
      <c r="QXL94" s="195"/>
      <c r="QXM94" s="195"/>
      <c r="QXN94" s="195"/>
      <c r="QXO94" s="195"/>
      <c r="QXP94" s="195"/>
      <c r="QXQ94" s="195"/>
      <c r="QXR94" s="195"/>
      <c r="QXS94" s="195"/>
      <c r="QXT94" s="195"/>
      <c r="QXU94" s="195"/>
      <c r="QXV94" s="195"/>
      <c r="QXW94" s="195"/>
      <c r="QXX94" s="195"/>
      <c r="QXY94" s="195"/>
      <c r="QXZ94" s="195"/>
      <c r="QYA94" s="195"/>
      <c r="QYB94" s="195"/>
      <c r="QYC94" s="195"/>
      <c r="QYD94" s="195"/>
      <c r="QYE94" s="195"/>
      <c r="QYF94" s="195"/>
      <c r="QYG94" s="195"/>
      <c r="QYH94" s="195"/>
      <c r="QYI94" s="195"/>
      <c r="QYJ94" s="195"/>
      <c r="QYK94" s="195"/>
      <c r="QYL94" s="195"/>
      <c r="QYM94" s="195"/>
      <c r="QYN94" s="195"/>
      <c r="QYO94" s="195"/>
      <c r="QYP94" s="195"/>
      <c r="QYQ94" s="195"/>
      <c r="QYR94" s="195"/>
      <c r="QYS94" s="195"/>
      <c r="QYT94" s="195"/>
      <c r="QYU94" s="195"/>
      <c r="QYV94" s="195"/>
      <c r="QYW94" s="195"/>
      <c r="QYX94" s="195"/>
      <c r="QYY94" s="195"/>
      <c r="QYZ94" s="195"/>
      <c r="QZA94" s="195"/>
      <c r="QZB94" s="195"/>
      <c r="QZC94" s="195"/>
      <c r="QZD94" s="195"/>
      <c r="QZE94" s="195"/>
      <c r="QZF94" s="195"/>
      <c r="QZG94" s="195"/>
      <c r="QZH94" s="195"/>
      <c r="QZI94" s="195"/>
      <c r="QZJ94" s="195"/>
      <c r="QZK94" s="195"/>
      <c r="QZL94" s="195"/>
      <c r="QZM94" s="195"/>
      <c r="QZN94" s="195"/>
      <c r="QZO94" s="195"/>
      <c r="QZP94" s="195"/>
      <c r="QZQ94" s="195"/>
      <c r="QZR94" s="195"/>
      <c r="QZS94" s="195"/>
      <c r="QZT94" s="195"/>
      <c r="QZU94" s="195"/>
      <c r="QZV94" s="195"/>
      <c r="QZW94" s="195"/>
      <c r="QZX94" s="195"/>
      <c r="QZY94" s="195"/>
      <c r="QZZ94" s="195"/>
      <c r="RAA94" s="195"/>
      <c r="RAB94" s="195"/>
      <c r="RAC94" s="195"/>
      <c r="RAD94" s="195"/>
      <c r="RAE94" s="195"/>
      <c r="RAF94" s="195"/>
      <c r="RAG94" s="195"/>
      <c r="RAH94" s="195"/>
      <c r="RAI94" s="195"/>
      <c r="RAJ94" s="195"/>
      <c r="RAK94" s="195"/>
      <c r="RAL94" s="195"/>
      <c r="RAM94" s="195"/>
      <c r="RAN94" s="195"/>
      <c r="RAO94" s="195"/>
      <c r="RAP94" s="195"/>
      <c r="RAQ94" s="195"/>
      <c r="RAR94" s="195"/>
      <c r="RAS94" s="195"/>
      <c r="RAT94" s="195"/>
      <c r="RAU94" s="195"/>
      <c r="RAV94" s="195"/>
      <c r="RAW94" s="195"/>
      <c r="RAX94" s="195"/>
      <c r="RAY94" s="195"/>
      <c r="RAZ94" s="195"/>
      <c r="RBA94" s="195"/>
      <c r="RBB94" s="195"/>
      <c r="RBC94" s="195"/>
      <c r="RBD94" s="195"/>
      <c r="RBE94" s="195"/>
      <c r="RBF94" s="195"/>
      <c r="RBG94" s="195"/>
      <c r="RBH94" s="195"/>
      <c r="RBI94" s="195"/>
      <c r="RBJ94" s="195"/>
      <c r="RBK94" s="195"/>
      <c r="RBL94" s="195"/>
      <c r="RBM94" s="195"/>
      <c r="RBN94" s="195"/>
      <c r="RBO94" s="195"/>
      <c r="RBP94" s="195"/>
      <c r="RBQ94" s="195"/>
      <c r="RBR94" s="195"/>
      <c r="RBS94" s="195"/>
      <c r="RBT94" s="195"/>
      <c r="RBU94" s="195"/>
      <c r="RBV94" s="195"/>
      <c r="RBW94" s="195"/>
      <c r="RBX94" s="195"/>
      <c r="RBY94" s="195"/>
      <c r="RBZ94" s="195"/>
      <c r="RCA94" s="195"/>
      <c r="RCB94" s="195"/>
      <c r="RCC94" s="195"/>
      <c r="RCD94" s="195"/>
      <c r="RCE94" s="195"/>
      <c r="RCF94" s="195"/>
      <c r="RCG94" s="195"/>
      <c r="RCH94" s="195"/>
      <c r="RCI94" s="195"/>
      <c r="RCJ94" s="195"/>
      <c r="RCK94" s="195"/>
      <c r="RCL94" s="195"/>
      <c r="RCM94" s="195"/>
      <c r="RCN94" s="195"/>
      <c r="RCO94" s="195"/>
      <c r="RCP94" s="195"/>
      <c r="RCQ94" s="195"/>
      <c r="RCR94" s="195"/>
      <c r="RCS94" s="195"/>
      <c r="RCT94" s="195"/>
      <c r="RCU94" s="195"/>
      <c r="RCV94" s="195"/>
      <c r="RCW94" s="195"/>
      <c r="RCX94" s="195"/>
      <c r="RCY94" s="195"/>
      <c r="RCZ94" s="195"/>
      <c r="RDA94" s="195"/>
      <c r="RDB94" s="195"/>
      <c r="RDC94" s="195"/>
      <c r="RDD94" s="195"/>
      <c r="RDE94" s="195"/>
      <c r="RDF94" s="195"/>
      <c r="RDG94" s="195"/>
      <c r="RDH94" s="195"/>
      <c r="RDI94" s="195"/>
      <c r="RDJ94" s="195"/>
      <c r="RDK94" s="195"/>
      <c r="RDL94" s="195"/>
      <c r="RDM94" s="195"/>
      <c r="RDN94" s="195"/>
      <c r="RDO94" s="195"/>
      <c r="RDP94" s="195"/>
      <c r="RDQ94" s="195"/>
      <c r="RDR94" s="195"/>
      <c r="RDS94" s="195"/>
      <c r="RDT94" s="195"/>
      <c r="RDU94" s="195"/>
      <c r="RDV94" s="195"/>
      <c r="RDW94" s="195"/>
      <c r="RDX94" s="195"/>
      <c r="RDY94" s="195"/>
      <c r="RDZ94" s="195"/>
      <c r="REA94" s="195"/>
      <c r="REB94" s="195"/>
      <c r="REC94" s="195"/>
      <c r="RED94" s="195"/>
      <c r="REE94" s="195"/>
      <c r="REF94" s="195"/>
      <c r="REG94" s="195"/>
      <c r="REH94" s="195"/>
      <c r="REI94" s="195"/>
      <c r="REJ94" s="195"/>
      <c r="REK94" s="195"/>
      <c r="REL94" s="195"/>
      <c r="REM94" s="195"/>
      <c r="REN94" s="195"/>
      <c r="REO94" s="195"/>
      <c r="REP94" s="195"/>
      <c r="REQ94" s="195"/>
      <c r="RER94" s="195"/>
      <c r="RES94" s="195"/>
      <c r="RET94" s="195"/>
      <c r="REU94" s="195"/>
      <c r="REV94" s="195"/>
      <c r="REW94" s="195"/>
      <c r="REX94" s="195"/>
      <c r="REY94" s="195"/>
      <c r="REZ94" s="195"/>
      <c r="RFA94" s="195"/>
      <c r="RFB94" s="195"/>
      <c r="RFC94" s="195"/>
      <c r="RFD94" s="195"/>
      <c r="RFE94" s="195"/>
      <c r="RFF94" s="195"/>
      <c r="RFG94" s="195"/>
      <c r="RFH94" s="195"/>
      <c r="RFI94" s="195"/>
      <c r="RFJ94" s="195"/>
      <c r="RFK94" s="195"/>
      <c r="RFL94" s="195"/>
      <c r="RFM94" s="195"/>
      <c r="RFN94" s="195"/>
      <c r="RFO94" s="195"/>
      <c r="RFP94" s="195"/>
      <c r="RFQ94" s="195"/>
      <c r="RFR94" s="195"/>
      <c r="RFS94" s="195"/>
      <c r="RFT94" s="195"/>
      <c r="RFU94" s="195"/>
      <c r="RFV94" s="195"/>
      <c r="RFW94" s="195"/>
      <c r="RFX94" s="195"/>
      <c r="RFY94" s="195"/>
      <c r="RFZ94" s="195"/>
      <c r="RGA94" s="195"/>
      <c r="RGB94" s="195"/>
      <c r="RGC94" s="195"/>
      <c r="RGD94" s="195"/>
      <c r="RGE94" s="195"/>
      <c r="RGF94" s="195"/>
      <c r="RGG94" s="195"/>
      <c r="RGH94" s="195"/>
      <c r="RGI94" s="195"/>
      <c r="RGJ94" s="195"/>
      <c r="RGK94" s="195"/>
      <c r="RGL94" s="195"/>
      <c r="RGM94" s="195"/>
      <c r="RGN94" s="195"/>
      <c r="RGO94" s="195"/>
      <c r="RGP94" s="195"/>
      <c r="RGQ94" s="195"/>
      <c r="RGR94" s="195"/>
      <c r="RGS94" s="195"/>
      <c r="RGT94" s="195"/>
      <c r="RGU94" s="195"/>
      <c r="RGV94" s="195"/>
      <c r="RGW94" s="195"/>
      <c r="RGX94" s="195"/>
      <c r="RGY94" s="195"/>
      <c r="RGZ94" s="195"/>
      <c r="RHA94" s="195"/>
      <c r="RHB94" s="195"/>
      <c r="RHC94" s="195"/>
      <c r="RHD94" s="195"/>
      <c r="RHE94" s="195"/>
      <c r="RHF94" s="195"/>
      <c r="RHG94" s="195"/>
      <c r="RHH94" s="195"/>
      <c r="RHI94" s="195"/>
      <c r="RHJ94" s="195"/>
      <c r="RHK94" s="195"/>
      <c r="RHL94" s="195"/>
      <c r="RHM94" s="195"/>
      <c r="RHN94" s="195"/>
      <c r="RHO94" s="195"/>
      <c r="RHP94" s="195"/>
      <c r="RHQ94" s="195"/>
      <c r="RHR94" s="195"/>
      <c r="RHS94" s="195"/>
      <c r="RHT94" s="195"/>
      <c r="RHU94" s="195"/>
      <c r="RHV94" s="195"/>
      <c r="RHW94" s="195"/>
      <c r="RHX94" s="195"/>
      <c r="RHY94" s="195"/>
      <c r="RHZ94" s="195"/>
      <c r="RIA94" s="195"/>
      <c r="RIB94" s="195"/>
      <c r="RIC94" s="195"/>
      <c r="RID94" s="195"/>
      <c r="RIE94" s="195"/>
      <c r="RIF94" s="195"/>
      <c r="RIG94" s="195"/>
      <c r="RIH94" s="195"/>
      <c r="RII94" s="195"/>
      <c r="RIJ94" s="195"/>
      <c r="RIK94" s="195"/>
      <c r="RIL94" s="195"/>
      <c r="RIM94" s="195"/>
      <c r="RIN94" s="195"/>
      <c r="RIO94" s="195"/>
      <c r="RIP94" s="195"/>
      <c r="RIQ94" s="195"/>
      <c r="RIR94" s="195"/>
      <c r="RIS94" s="195"/>
      <c r="RIT94" s="195"/>
      <c r="RIU94" s="195"/>
      <c r="RIV94" s="195"/>
      <c r="RIW94" s="195"/>
      <c r="RIX94" s="195"/>
      <c r="RIY94" s="195"/>
      <c r="RIZ94" s="195"/>
      <c r="RJA94" s="195"/>
      <c r="RJB94" s="195"/>
      <c r="RJC94" s="195"/>
      <c r="RJD94" s="195"/>
      <c r="RJE94" s="195"/>
      <c r="RJF94" s="195"/>
      <c r="RJG94" s="195"/>
      <c r="RJH94" s="195"/>
      <c r="RJI94" s="195"/>
      <c r="RJJ94" s="195"/>
      <c r="RJK94" s="195"/>
      <c r="RJL94" s="195"/>
      <c r="RJM94" s="195"/>
      <c r="RJN94" s="195"/>
      <c r="RJO94" s="195"/>
      <c r="RJP94" s="195"/>
      <c r="RJQ94" s="195"/>
      <c r="RJR94" s="195"/>
      <c r="RJS94" s="195"/>
      <c r="RJT94" s="195"/>
      <c r="RJU94" s="195"/>
      <c r="RJV94" s="195"/>
      <c r="RJW94" s="195"/>
      <c r="RJX94" s="195"/>
      <c r="RJY94" s="195"/>
      <c r="RJZ94" s="195"/>
      <c r="RKA94" s="195"/>
      <c r="RKB94" s="195"/>
      <c r="RKC94" s="195"/>
      <c r="RKD94" s="195"/>
      <c r="RKE94" s="195"/>
      <c r="RKF94" s="195"/>
      <c r="RKG94" s="195"/>
      <c r="RKH94" s="195"/>
      <c r="RKI94" s="195"/>
      <c r="RKJ94" s="195"/>
      <c r="RKK94" s="195"/>
      <c r="RKL94" s="195"/>
      <c r="RKM94" s="195"/>
      <c r="RKN94" s="195"/>
      <c r="RKO94" s="195"/>
      <c r="RKP94" s="195"/>
      <c r="RKQ94" s="195"/>
      <c r="RKR94" s="195"/>
      <c r="RKS94" s="195"/>
      <c r="RKT94" s="195"/>
      <c r="RKU94" s="195"/>
      <c r="RKV94" s="195"/>
      <c r="RKW94" s="195"/>
      <c r="RKX94" s="195"/>
      <c r="RKY94" s="195"/>
      <c r="RKZ94" s="195"/>
      <c r="RLA94" s="195"/>
      <c r="RLB94" s="195"/>
      <c r="RLC94" s="195"/>
      <c r="RLD94" s="195"/>
      <c r="RLE94" s="195"/>
      <c r="RLF94" s="195"/>
      <c r="RLG94" s="195"/>
      <c r="RLH94" s="195"/>
      <c r="RLI94" s="195"/>
      <c r="RLJ94" s="195"/>
      <c r="RLK94" s="195"/>
      <c r="RLL94" s="195"/>
      <c r="RLM94" s="195"/>
      <c r="RLN94" s="195"/>
      <c r="RLO94" s="195"/>
      <c r="RLP94" s="195"/>
      <c r="RLQ94" s="195"/>
      <c r="RLR94" s="195"/>
      <c r="RLS94" s="195"/>
      <c r="RLT94" s="195"/>
      <c r="RLU94" s="195"/>
      <c r="RLV94" s="195"/>
      <c r="RLW94" s="195"/>
      <c r="RLX94" s="195"/>
      <c r="RLY94" s="195"/>
      <c r="RLZ94" s="195"/>
      <c r="RMA94" s="195"/>
      <c r="RMB94" s="195"/>
      <c r="RMC94" s="195"/>
      <c r="RMD94" s="195"/>
      <c r="RME94" s="195"/>
      <c r="RMF94" s="195"/>
      <c r="RMG94" s="195"/>
      <c r="RMH94" s="195"/>
      <c r="RMI94" s="195"/>
      <c r="RMJ94" s="195"/>
      <c r="RMK94" s="195"/>
      <c r="RML94" s="195"/>
      <c r="RMM94" s="195"/>
      <c r="RMN94" s="195"/>
      <c r="RMO94" s="195"/>
      <c r="RMP94" s="195"/>
      <c r="RMQ94" s="195"/>
      <c r="RMR94" s="195"/>
      <c r="RMS94" s="195"/>
      <c r="RMT94" s="195"/>
      <c r="RMU94" s="195"/>
      <c r="RMV94" s="195"/>
      <c r="RMW94" s="195"/>
      <c r="RMX94" s="195"/>
      <c r="RMY94" s="195"/>
      <c r="RMZ94" s="195"/>
      <c r="RNA94" s="195"/>
      <c r="RNB94" s="195"/>
      <c r="RNC94" s="195"/>
      <c r="RND94" s="195"/>
      <c r="RNE94" s="195"/>
      <c r="RNF94" s="195"/>
      <c r="RNG94" s="195"/>
      <c r="RNH94" s="195"/>
      <c r="RNI94" s="195"/>
      <c r="RNJ94" s="195"/>
      <c r="RNK94" s="195"/>
      <c r="RNL94" s="195"/>
      <c r="RNM94" s="195"/>
      <c r="RNN94" s="195"/>
      <c r="RNO94" s="195"/>
      <c r="RNP94" s="195"/>
      <c r="RNQ94" s="195"/>
      <c r="RNR94" s="195"/>
      <c r="RNS94" s="195"/>
      <c r="RNT94" s="195"/>
      <c r="RNU94" s="195"/>
      <c r="RNV94" s="195"/>
      <c r="RNW94" s="195"/>
      <c r="RNX94" s="195"/>
      <c r="RNY94" s="195"/>
      <c r="RNZ94" s="195"/>
      <c r="ROA94" s="195"/>
      <c r="ROB94" s="195"/>
      <c r="ROC94" s="195"/>
      <c r="ROD94" s="195"/>
      <c r="ROE94" s="195"/>
      <c r="ROF94" s="195"/>
      <c r="ROG94" s="195"/>
      <c r="ROH94" s="195"/>
      <c r="ROI94" s="195"/>
      <c r="ROJ94" s="195"/>
      <c r="ROK94" s="195"/>
      <c r="ROL94" s="195"/>
      <c r="ROM94" s="195"/>
      <c r="RON94" s="195"/>
      <c r="ROO94" s="195"/>
      <c r="ROP94" s="195"/>
      <c r="ROQ94" s="195"/>
      <c r="ROR94" s="195"/>
      <c r="ROS94" s="195"/>
      <c r="ROT94" s="195"/>
      <c r="ROU94" s="195"/>
      <c r="ROV94" s="195"/>
      <c r="ROW94" s="195"/>
      <c r="ROX94" s="195"/>
      <c r="ROY94" s="195"/>
      <c r="ROZ94" s="195"/>
      <c r="RPA94" s="195"/>
      <c r="RPB94" s="195"/>
      <c r="RPC94" s="195"/>
      <c r="RPD94" s="195"/>
      <c r="RPE94" s="195"/>
      <c r="RPF94" s="195"/>
      <c r="RPG94" s="195"/>
      <c r="RPH94" s="195"/>
      <c r="RPI94" s="195"/>
      <c r="RPJ94" s="195"/>
      <c r="RPK94" s="195"/>
      <c r="RPL94" s="195"/>
      <c r="RPM94" s="195"/>
      <c r="RPN94" s="195"/>
      <c r="RPO94" s="195"/>
      <c r="RPP94" s="195"/>
      <c r="RPQ94" s="195"/>
      <c r="RPR94" s="195"/>
      <c r="RPS94" s="195"/>
      <c r="RPT94" s="195"/>
      <c r="RPU94" s="195"/>
      <c r="RPV94" s="195"/>
      <c r="RPW94" s="195"/>
      <c r="RPX94" s="195"/>
      <c r="RPY94" s="195"/>
      <c r="RPZ94" s="195"/>
      <c r="RQA94" s="195"/>
      <c r="RQB94" s="195"/>
      <c r="RQC94" s="195"/>
      <c r="RQD94" s="195"/>
      <c r="RQE94" s="195"/>
      <c r="RQF94" s="195"/>
      <c r="RQG94" s="195"/>
      <c r="RQH94" s="195"/>
      <c r="RQI94" s="195"/>
      <c r="RQJ94" s="195"/>
      <c r="RQK94" s="195"/>
      <c r="RQL94" s="195"/>
      <c r="RQM94" s="195"/>
      <c r="RQN94" s="195"/>
      <c r="RQO94" s="195"/>
      <c r="RQP94" s="195"/>
      <c r="RQQ94" s="195"/>
      <c r="RQR94" s="195"/>
      <c r="RQS94" s="195"/>
      <c r="RQT94" s="195"/>
      <c r="RQU94" s="195"/>
      <c r="RQV94" s="195"/>
      <c r="RQW94" s="195"/>
      <c r="RQX94" s="195"/>
      <c r="RQY94" s="195"/>
      <c r="RQZ94" s="195"/>
      <c r="RRA94" s="195"/>
      <c r="RRB94" s="195"/>
      <c r="RRC94" s="195"/>
      <c r="RRD94" s="195"/>
      <c r="RRE94" s="195"/>
      <c r="RRF94" s="195"/>
      <c r="RRG94" s="195"/>
      <c r="RRH94" s="195"/>
      <c r="RRI94" s="195"/>
      <c r="RRJ94" s="195"/>
      <c r="RRK94" s="195"/>
      <c r="RRL94" s="195"/>
      <c r="RRM94" s="195"/>
      <c r="RRN94" s="195"/>
      <c r="RRO94" s="195"/>
      <c r="RRP94" s="195"/>
      <c r="RRQ94" s="195"/>
      <c r="RRR94" s="195"/>
      <c r="RRS94" s="195"/>
      <c r="RRT94" s="195"/>
      <c r="RRU94" s="195"/>
      <c r="RRV94" s="195"/>
      <c r="RRW94" s="195"/>
      <c r="RRX94" s="195"/>
      <c r="RRY94" s="195"/>
      <c r="RRZ94" s="195"/>
      <c r="RSA94" s="195"/>
      <c r="RSB94" s="195"/>
      <c r="RSC94" s="195"/>
      <c r="RSD94" s="195"/>
      <c r="RSE94" s="195"/>
      <c r="RSF94" s="195"/>
      <c r="RSG94" s="195"/>
      <c r="RSH94" s="195"/>
      <c r="RSI94" s="195"/>
      <c r="RSJ94" s="195"/>
      <c r="RSK94" s="195"/>
      <c r="RSL94" s="195"/>
      <c r="RSM94" s="195"/>
      <c r="RSN94" s="195"/>
      <c r="RSO94" s="195"/>
      <c r="RSP94" s="195"/>
      <c r="RSQ94" s="195"/>
      <c r="RSR94" s="195"/>
      <c r="RSS94" s="195"/>
      <c r="RST94" s="195"/>
      <c r="RSU94" s="195"/>
      <c r="RSV94" s="195"/>
      <c r="RSW94" s="195"/>
      <c r="RSX94" s="195"/>
      <c r="RSY94" s="195"/>
      <c r="RSZ94" s="195"/>
      <c r="RTA94" s="195"/>
      <c r="RTB94" s="195"/>
      <c r="RTC94" s="195"/>
      <c r="RTD94" s="195"/>
      <c r="RTE94" s="195"/>
      <c r="RTF94" s="195"/>
      <c r="RTG94" s="195"/>
      <c r="RTH94" s="195"/>
      <c r="RTI94" s="195"/>
      <c r="RTJ94" s="195"/>
      <c r="RTK94" s="195"/>
      <c r="RTL94" s="195"/>
      <c r="RTM94" s="195"/>
      <c r="RTN94" s="195"/>
      <c r="RTO94" s="195"/>
      <c r="RTP94" s="195"/>
      <c r="RTQ94" s="195"/>
      <c r="RTR94" s="195"/>
      <c r="RTS94" s="195"/>
      <c r="RTT94" s="195"/>
      <c r="RTU94" s="195"/>
      <c r="RTV94" s="195"/>
      <c r="RTW94" s="195"/>
      <c r="RTX94" s="195"/>
      <c r="RTY94" s="195"/>
      <c r="RTZ94" s="195"/>
      <c r="RUA94" s="195"/>
      <c r="RUB94" s="195"/>
      <c r="RUC94" s="195"/>
      <c r="RUD94" s="195"/>
      <c r="RUE94" s="195"/>
      <c r="RUF94" s="195"/>
      <c r="RUG94" s="195"/>
      <c r="RUH94" s="195"/>
      <c r="RUI94" s="195"/>
      <c r="RUJ94" s="195"/>
      <c r="RUK94" s="195"/>
      <c r="RUL94" s="195"/>
      <c r="RUM94" s="195"/>
      <c r="RUN94" s="195"/>
      <c r="RUO94" s="195"/>
      <c r="RUP94" s="195"/>
      <c r="RUQ94" s="195"/>
      <c r="RUR94" s="195"/>
      <c r="RUS94" s="195"/>
      <c r="RUT94" s="195"/>
      <c r="RUU94" s="195"/>
      <c r="RUV94" s="195"/>
      <c r="RUW94" s="195"/>
      <c r="RUX94" s="195"/>
      <c r="RUY94" s="195"/>
      <c r="RUZ94" s="195"/>
      <c r="RVA94" s="195"/>
      <c r="RVB94" s="195"/>
      <c r="RVC94" s="195"/>
      <c r="RVD94" s="195"/>
      <c r="RVE94" s="195"/>
      <c r="RVF94" s="195"/>
      <c r="RVG94" s="195"/>
      <c r="RVH94" s="195"/>
      <c r="RVI94" s="195"/>
      <c r="RVJ94" s="195"/>
      <c r="RVK94" s="195"/>
      <c r="RVL94" s="195"/>
      <c r="RVM94" s="195"/>
      <c r="RVN94" s="195"/>
      <c r="RVO94" s="195"/>
      <c r="RVP94" s="195"/>
      <c r="RVQ94" s="195"/>
      <c r="RVR94" s="195"/>
      <c r="RVS94" s="195"/>
      <c r="RVT94" s="195"/>
      <c r="RVU94" s="195"/>
      <c r="RVV94" s="195"/>
      <c r="RVW94" s="195"/>
      <c r="RVX94" s="195"/>
      <c r="RVY94" s="195"/>
      <c r="RVZ94" s="195"/>
      <c r="RWA94" s="195"/>
      <c r="RWB94" s="195"/>
      <c r="RWC94" s="195"/>
      <c r="RWD94" s="195"/>
      <c r="RWE94" s="195"/>
      <c r="RWF94" s="195"/>
      <c r="RWG94" s="195"/>
      <c r="RWH94" s="195"/>
      <c r="RWI94" s="195"/>
      <c r="RWJ94" s="195"/>
      <c r="RWK94" s="195"/>
      <c r="RWL94" s="195"/>
      <c r="RWM94" s="195"/>
      <c r="RWN94" s="195"/>
      <c r="RWO94" s="195"/>
      <c r="RWP94" s="195"/>
      <c r="RWQ94" s="195"/>
      <c r="RWR94" s="195"/>
      <c r="RWS94" s="195"/>
      <c r="RWT94" s="195"/>
      <c r="RWU94" s="195"/>
      <c r="RWV94" s="195"/>
      <c r="RWW94" s="195"/>
      <c r="RWX94" s="195"/>
      <c r="RWY94" s="195"/>
      <c r="RWZ94" s="195"/>
      <c r="RXA94" s="195"/>
      <c r="RXB94" s="195"/>
      <c r="RXC94" s="195"/>
      <c r="RXD94" s="195"/>
      <c r="RXE94" s="195"/>
      <c r="RXF94" s="195"/>
      <c r="RXG94" s="195"/>
      <c r="RXH94" s="195"/>
      <c r="RXI94" s="195"/>
      <c r="RXJ94" s="195"/>
      <c r="RXK94" s="195"/>
      <c r="RXL94" s="195"/>
      <c r="RXM94" s="195"/>
      <c r="RXN94" s="195"/>
      <c r="RXO94" s="195"/>
      <c r="RXP94" s="195"/>
      <c r="RXQ94" s="195"/>
      <c r="RXR94" s="195"/>
      <c r="RXS94" s="195"/>
      <c r="RXT94" s="195"/>
      <c r="RXU94" s="195"/>
      <c r="RXV94" s="195"/>
      <c r="RXW94" s="195"/>
      <c r="RXX94" s="195"/>
      <c r="RXY94" s="195"/>
      <c r="RXZ94" s="195"/>
      <c r="RYA94" s="195"/>
      <c r="RYB94" s="195"/>
      <c r="RYC94" s="195"/>
      <c r="RYD94" s="195"/>
      <c r="RYE94" s="195"/>
      <c r="RYF94" s="195"/>
      <c r="RYG94" s="195"/>
      <c r="RYH94" s="195"/>
      <c r="RYI94" s="195"/>
      <c r="RYJ94" s="195"/>
      <c r="RYK94" s="195"/>
      <c r="RYL94" s="195"/>
      <c r="RYM94" s="195"/>
      <c r="RYN94" s="195"/>
      <c r="RYO94" s="195"/>
      <c r="RYP94" s="195"/>
      <c r="RYQ94" s="195"/>
      <c r="RYR94" s="195"/>
      <c r="RYS94" s="195"/>
      <c r="RYT94" s="195"/>
      <c r="RYU94" s="195"/>
      <c r="RYV94" s="195"/>
      <c r="RYW94" s="195"/>
      <c r="RYX94" s="195"/>
      <c r="RYY94" s="195"/>
      <c r="RYZ94" s="195"/>
      <c r="RZA94" s="195"/>
      <c r="RZB94" s="195"/>
      <c r="RZC94" s="195"/>
      <c r="RZD94" s="195"/>
      <c r="RZE94" s="195"/>
      <c r="RZF94" s="195"/>
      <c r="RZG94" s="195"/>
      <c r="RZH94" s="195"/>
      <c r="RZI94" s="195"/>
      <c r="RZJ94" s="195"/>
      <c r="RZK94" s="195"/>
      <c r="RZL94" s="195"/>
      <c r="RZM94" s="195"/>
      <c r="RZN94" s="195"/>
      <c r="RZO94" s="195"/>
      <c r="RZP94" s="195"/>
      <c r="RZQ94" s="195"/>
      <c r="RZR94" s="195"/>
      <c r="RZS94" s="195"/>
      <c r="RZT94" s="195"/>
      <c r="RZU94" s="195"/>
      <c r="RZV94" s="195"/>
      <c r="RZW94" s="195"/>
      <c r="RZX94" s="195"/>
      <c r="RZY94" s="195"/>
      <c r="RZZ94" s="195"/>
      <c r="SAA94" s="195"/>
      <c r="SAB94" s="195"/>
      <c r="SAC94" s="195"/>
      <c r="SAD94" s="195"/>
      <c r="SAE94" s="195"/>
      <c r="SAF94" s="195"/>
      <c r="SAG94" s="195"/>
      <c r="SAH94" s="195"/>
      <c r="SAI94" s="195"/>
      <c r="SAJ94" s="195"/>
      <c r="SAK94" s="195"/>
      <c r="SAL94" s="195"/>
      <c r="SAM94" s="195"/>
      <c r="SAN94" s="195"/>
      <c r="SAO94" s="195"/>
      <c r="SAP94" s="195"/>
      <c r="SAQ94" s="195"/>
      <c r="SAR94" s="195"/>
      <c r="SAS94" s="195"/>
      <c r="SAT94" s="195"/>
      <c r="SAU94" s="195"/>
      <c r="SAV94" s="195"/>
      <c r="SAW94" s="195"/>
      <c r="SAX94" s="195"/>
      <c r="SAY94" s="195"/>
      <c r="SAZ94" s="195"/>
      <c r="SBA94" s="195"/>
      <c r="SBB94" s="195"/>
      <c r="SBC94" s="195"/>
      <c r="SBD94" s="195"/>
      <c r="SBE94" s="195"/>
      <c r="SBF94" s="195"/>
      <c r="SBG94" s="195"/>
      <c r="SBH94" s="195"/>
      <c r="SBI94" s="195"/>
      <c r="SBJ94" s="195"/>
      <c r="SBK94" s="195"/>
      <c r="SBL94" s="195"/>
      <c r="SBM94" s="195"/>
      <c r="SBN94" s="195"/>
      <c r="SBO94" s="195"/>
      <c r="SBP94" s="195"/>
      <c r="SBQ94" s="195"/>
      <c r="SBR94" s="195"/>
      <c r="SBS94" s="195"/>
      <c r="SBT94" s="195"/>
      <c r="SBU94" s="195"/>
      <c r="SBV94" s="195"/>
      <c r="SBW94" s="195"/>
      <c r="SBX94" s="195"/>
      <c r="SBY94" s="195"/>
      <c r="SBZ94" s="195"/>
      <c r="SCA94" s="195"/>
      <c r="SCB94" s="195"/>
      <c r="SCC94" s="195"/>
      <c r="SCD94" s="195"/>
      <c r="SCE94" s="195"/>
      <c r="SCF94" s="195"/>
      <c r="SCG94" s="195"/>
      <c r="SCH94" s="195"/>
      <c r="SCI94" s="195"/>
      <c r="SCJ94" s="195"/>
      <c r="SCK94" s="195"/>
      <c r="SCL94" s="195"/>
      <c r="SCM94" s="195"/>
      <c r="SCN94" s="195"/>
      <c r="SCO94" s="195"/>
      <c r="SCP94" s="195"/>
      <c r="SCQ94" s="195"/>
      <c r="SCR94" s="195"/>
      <c r="SCS94" s="195"/>
      <c r="SCT94" s="195"/>
      <c r="SCU94" s="195"/>
      <c r="SCV94" s="195"/>
      <c r="SCW94" s="195"/>
      <c r="SCX94" s="195"/>
      <c r="SCY94" s="195"/>
      <c r="SCZ94" s="195"/>
      <c r="SDA94" s="195"/>
      <c r="SDB94" s="195"/>
      <c r="SDC94" s="195"/>
      <c r="SDD94" s="195"/>
      <c r="SDE94" s="195"/>
      <c r="SDF94" s="195"/>
      <c r="SDG94" s="195"/>
      <c r="SDH94" s="195"/>
      <c r="SDI94" s="195"/>
      <c r="SDJ94" s="195"/>
      <c r="SDK94" s="195"/>
      <c r="SDL94" s="195"/>
      <c r="SDM94" s="195"/>
      <c r="SDN94" s="195"/>
      <c r="SDO94" s="195"/>
      <c r="SDP94" s="195"/>
      <c r="SDQ94" s="195"/>
      <c r="SDR94" s="195"/>
      <c r="SDS94" s="195"/>
      <c r="SDT94" s="195"/>
      <c r="SDU94" s="195"/>
      <c r="SDV94" s="195"/>
      <c r="SDW94" s="195"/>
      <c r="SDX94" s="195"/>
      <c r="SDY94" s="195"/>
      <c r="SDZ94" s="195"/>
      <c r="SEA94" s="195"/>
      <c r="SEB94" s="195"/>
      <c r="SEC94" s="195"/>
      <c r="SED94" s="195"/>
      <c r="SEE94" s="195"/>
      <c r="SEF94" s="195"/>
      <c r="SEG94" s="195"/>
      <c r="SEH94" s="195"/>
      <c r="SEI94" s="195"/>
      <c r="SEJ94" s="195"/>
      <c r="SEK94" s="195"/>
      <c r="SEL94" s="195"/>
      <c r="SEM94" s="195"/>
      <c r="SEN94" s="195"/>
      <c r="SEO94" s="195"/>
      <c r="SEP94" s="195"/>
      <c r="SEQ94" s="195"/>
      <c r="SER94" s="195"/>
      <c r="SES94" s="195"/>
      <c r="SET94" s="195"/>
      <c r="SEU94" s="195"/>
      <c r="SEV94" s="195"/>
      <c r="SEW94" s="195"/>
      <c r="SEX94" s="195"/>
      <c r="SEY94" s="195"/>
      <c r="SEZ94" s="195"/>
      <c r="SFA94" s="195"/>
      <c r="SFB94" s="195"/>
      <c r="SFC94" s="195"/>
      <c r="SFD94" s="195"/>
      <c r="SFE94" s="195"/>
      <c r="SFF94" s="195"/>
      <c r="SFG94" s="195"/>
      <c r="SFH94" s="195"/>
      <c r="SFI94" s="195"/>
      <c r="SFJ94" s="195"/>
      <c r="SFK94" s="195"/>
      <c r="SFL94" s="195"/>
      <c r="SFM94" s="195"/>
      <c r="SFN94" s="195"/>
      <c r="SFO94" s="195"/>
      <c r="SFP94" s="195"/>
      <c r="SFQ94" s="195"/>
      <c r="SFR94" s="195"/>
      <c r="SFS94" s="195"/>
      <c r="SFT94" s="195"/>
      <c r="SFU94" s="195"/>
      <c r="SFV94" s="195"/>
      <c r="SFW94" s="195"/>
      <c r="SFX94" s="195"/>
      <c r="SFY94" s="195"/>
      <c r="SFZ94" s="195"/>
      <c r="SGA94" s="195"/>
      <c r="SGB94" s="195"/>
      <c r="SGC94" s="195"/>
      <c r="SGD94" s="195"/>
      <c r="SGE94" s="195"/>
      <c r="SGF94" s="195"/>
      <c r="SGG94" s="195"/>
      <c r="SGH94" s="195"/>
      <c r="SGI94" s="195"/>
      <c r="SGJ94" s="195"/>
      <c r="SGK94" s="195"/>
      <c r="SGL94" s="195"/>
      <c r="SGM94" s="195"/>
      <c r="SGN94" s="195"/>
      <c r="SGO94" s="195"/>
      <c r="SGP94" s="195"/>
      <c r="SGQ94" s="195"/>
      <c r="SGR94" s="195"/>
      <c r="SGS94" s="195"/>
      <c r="SGT94" s="195"/>
      <c r="SGU94" s="195"/>
      <c r="SGV94" s="195"/>
      <c r="SGW94" s="195"/>
      <c r="SGX94" s="195"/>
      <c r="SGY94" s="195"/>
      <c r="SGZ94" s="195"/>
      <c r="SHA94" s="195"/>
      <c r="SHB94" s="195"/>
      <c r="SHC94" s="195"/>
      <c r="SHD94" s="195"/>
      <c r="SHE94" s="195"/>
      <c r="SHF94" s="195"/>
      <c r="SHG94" s="195"/>
      <c r="SHH94" s="195"/>
      <c r="SHI94" s="195"/>
      <c r="SHJ94" s="195"/>
      <c r="SHK94" s="195"/>
      <c r="SHL94" s="195"/>
      <c r="SHM94" s="195"/>
      <c r="SHN94" s="195"/>
      <c r="SHO94" s="195"/>
      <c r="SHP94" s="195"/>
      <c r="SHQ94" s="195"/>
      <c r="SHR94" s="195"/>
      <c r="SHS94" s="195"/>
      <c r="SHT94" s="195"/>
      <c r="SHU94" s="195"/>
      <c r="SHV94" s="195"/>
      <c r="SHW94" s="195"/>
      <c r="SHX94" s="195"/>
      <c r="SHY94" s="195"/>
      <c r="SHZ94" s="195"/>
      <c r="SIA94" s="195"/>
      <c r="SIB94" s="195"/>
      <c r="SIC94" s="195"/>
      <c r="SID94" s="195"/>
      <c r="SIE94" s="195"/>
      <c r="SIF94" s="195"/>
      <c r="SIG94" s="195"/>
      <c r="SIH94" s="195"/>
      <c r="SII94" s="195"/>
      <c r="SIJ94" s="195"/>
      <c r="SIK94" s="195"/>
      <c r="SIL94" s="195"/>
      <c r="SIM94" s="195"/>
      <c r="SIN94" s="195"/>
      <c r="SIO94" s="195"/>
      <c r="SIP94" s="195"/>
      <c r="SIQ94" s="195"/>
      <c r="SIR94" s="195"/>
      <c r="SIS94" s="195"/>
      <c r="SIT94" s="195"/>
      <c r="SIU94" s="195"/>
      <c r="SIV94" s="195"/>
      <c r="SIW94" s="195"/>
      <c r="SIX94" s="195"/>
      <c r="SIY94" s="195"/>
      <c r="SIZ94" s="195"/>
      <c r="SJA94" s="195"/>
      <c r="SJB94" s="195"/>
      <c r="SJC94" s="195"/>
      <c r="SJD94" s="195"/>
      <c r="SJE94" s="195"/>
      <c r="SJF94" s="195"/>
      <c r="SJG94" s="195"/>
      <c r="SJH94" s="195"/>
      <c r="SJI94" s="195"/>
      <c r="SJJ94" s="195"/>
      <c r="SJK94" s="195"/>
      <c r="SJL94" s="195"/>
      <c r="SJM94" s="195"/>
      <c r="SJN94" s="195"/>
      <c r="SJO94" s="195"/>
      <c r="SJP94" s="195"/>
      <c r="SJQ94" s="195"/>
      <c r="SJR94" s="195"/>
      <c r="SJS94" s="195"/>
      <c r="SJT94" s="195"/>
      <c r="SJU94" s="195"/>
      <c r="SJV94" s="195"/>
      <c r="SJW94" s="195"/>
      <c r="SJX94" s="195"/>
      <c r="SJY94" s="195"/>
      <c r="SJZ94" s="195"/>
      <c r="SKA94" s="195"/>
      <c r="SKB94" s="195"/>
      <c r="SKC94" s="195"/>
      <c r="SKD94" s="195"/>
      <c r="SKE94" s="195"/>
      <c r="SKF94" s="195"/>
      <c r="SKG94" s="195"/>
      <c r="SKH94" s="195"/>
      <c r="SKI94" s="195"/>
      <c r="SKJ94" s="195"/>
      <c r="SKK94" s="195"/>
      <c r="SKL94" s="195"/>
      <c r="SKM94" s="195"/>
      <c r="SKN94" s="195"/>
      <c r="SKO94" s="195"/>
      <c r="SKP94" s="195"/>
      <c r="SKQ94" s="195"/>
      <c r="SKR94" s="195"/>
      <c r="SKS94" s="195"/>
      <c r="SKT94" s="195"/>
      <c r="SKU94" s="195"/>
      <c r="SKV94" s="195"/>
      <c r="SKW94" s="195"/>
      <c r="SKX94" s="195"/>
      <c r="SKY94" s="195"/>
      <c r="SKZ94" s="195"/>
      <c r="SLA94" s="195"/>
      <c r="SLB94" s="195"/>
      <c r="SLC94" s="195"/>
      <c r="SLD94" s="195"/>
      <c r="SLE94" s="195"/>
      <c r="SLF94" s="195"/>
      <c r="SLG94" s="195"/>
      <c r="SLH94" s="195"/>
      <c r="SLI94" s="195"/>
      <c r="SLJ94" s="195"/>
      <c r="SLK94" s="195"/>
      <c r="SLL94" s="195"/>
      <c r="SLM94" s="195"/>
      <c r="SLN94" s="195"/>
      <c r="SLO94" s="195"/>
      <c r="SLP94" s="195"/>
      <c r="SLQ94" s="195"/>
      <c r="SLR94" s="195"/>
      <c r="SLS94" s="195"/>
      <c r="SLT94" s="195"/>
      <c r="SLU94" s="195"/>
      <c r="SLV94" s="195"/>
      <c r="SLW94" s="195"/>
      <c r="SLX94" s="195"/>
      <c r="SLY94" s="195"/>
      <c r="SLZ94" s="195"/>
      <c r="SMA94" s="195"/>
      <c r="SMB94" s="195"/>
      <c r="SMC94" s="195"/>
      <c r="SMD94" s="195"/>
      <c r="SME94" s="195"/>
      <c r="SMF94" s="195"/>
      <c r="SMG94" s="195"/>
      <c r="SMH94" s="195"/>
      <c r="SMI94" s="195"/>
      <c r="SMJ94" s="195"/>
      <c r="SMK94" s="195"/>
      <c r="SML94" s="195"/>
      <c r="SMM94" s="195"/>
      <c r="SMN94" s="195"/>
      <c r="SMO94" s="195"/>
      <c r="SMP94" s="195"/>
      <c r="SMQ94" s="195"/>
      <c r="SMR94" s="195"/>
      <c r="SMS94" s="195"/>
      <c r="SMT94" s="195"/>
      <c r="SMU94" s="195"/>
      <c r="SMV94" s="195"/>
      <c r="SMW94" s="195"/>
      <c r="SMX94" s="195"/>
      <c r="SMY94" s="195"/>
      <c r="SMZ94" s="195"/>
      <c r="SNA94" s="195"/>
      <c r="SNB94" s="195"/>
      <c r="SNC94" s="195"/>
      <c r="SND94" s="195"/>
      <c r="SNE94" s="195"/>
      <c r="SNF94" s="195"/>
      <c r="SNG94" s="195"/>
      <c r="SNH94" s="195"/>
      <c r="SNI94" s="195"/>
      <c r="SNJ94" s="195"/>
      <c r="SNK94" s="195"/>
      <c r="SNL94" s="195"/>
      <c r="SNM94" s="195"/>
      <c r="SNN94" s="195"/>
      <c r="SNO94" s="195"/>
      <c r="SNP94" s="195"/>
      <c r="SNQ94" s="195"/>
      <c r="SNR94" s="195"/>
      <c r="SNS94" s="195"/>
      <c r="SNT94" s="195"/>
      <c r="SNU94" s="195"/>
      <c r="SNV94" s="195"/>
      <c r="SNW94" s="195"/>
      <c r="SNX94" s="195"/>
      <c r="SNY94" s="195"/>
      <c r="SNZ94" s="195"/>
      <c r="SOA94" s="195"/>
      <c r="SOB94" s="195"/>
      <c r="SOC94" s="195"/>
      <c r="SOD94" s="195"/>
      <c r="SOE94" s="195"/>
      <c r="SOF94" s="195"/>
      <c r="SOG94" s="195"/>
      <c r="SOH94" s="195"/>
      <c r="SOI94" s="195"/>
      <c r="SOJ94" s="195"/>
      <c r="SOK94" s="195"/>
      <c r="SOL94" s="195"/>
      <c r="SOM94" s="195"/>
      <c r="SON94" s="195"/>
      <c r="SOO94" s="195"/>
      <c r="SOP94" s="195"/>
      <c r="SOQ94" s="195"/>
      <c r="SOR94" s="195"/>
      <c r="SOS94" s="195"/>
      <c r="SOT94" s="195"/>
      <c r="SOU94" s="195"/>
      <c r="SOV94" s="195"/>
      <c r="SOW94" s="195"/>
      <c r="SOX94" s="195"/>
      <c r="SOY94" s="195"/>
      <c r="SOZ94" s="195"/>
      <c r="SPA94" s="195"/>
      <c r="SPB94" s="195"/>
      <c r="SPC94" s="195"/>
      <c r="SPD94" s="195"/>
      <c r="SPE94" s="195"/>
      <c r="SPF94" s="195"/>
      <c r="SPG94" s="195"/>
      <c r="SPH94" s="195"/>
      <c r="SPI94" s="195"/>
      <c r="SPJ94" s="195"/>
      <c r="SPK94" s="195"/>
      <c r="SPL94" s="195"/>
      <c r="SPM94" s="195"/>
      <c r="SPN94" s="195"/>
      <c r="SPO94" s="195"/>
      <c r="SPP94" s="195"/>
      <c r="SPQ94" s="195"/>
      <c r="SPR94" s="195"/>
      <c r="SPS94" s="195"/>
      <c r="SPT94" s="195"/>
      <c r="SPU94" s="195"/>
      <c r="SPV94" s="195"/>
      <c r="SPW94" s="195"/>
      <c r="SPX94" s="195"/>
      <c r="SPY94" s="195"/>
      <c r="SPZ94" s="195"/>
      <c r="SQA94" s="195"/>
      <c r="SQB94" s="195"/>
      <c r="SQC94" s="195"/>
      <c r="SQD94" s="195"/>
      <c r="SQE94" s="195"/>
      <c r="SQF94" s="195"/>
      <c r="SQG94" s="195"/>
      <c r="SQH94" s="195"/>
      <c r="SQI94" s="195"/>
      <c r="SQJ94" s="195"/>
      <c r="SQK94" s="195"/>
      <c r="SQL94" s="195"/>
      <c r="SQM94" s="195"/>
      <c r="SQN94" s="195"/>
      <c r="SQO94" s="195"/>
      <c r="SQP94" s="195"/>
      <c r="SQQ94" s="195"/>
      <c r="SQR94" s="195"/>
      <c r="SQS94" s="195"/>
      <c r="SQT94" s="195"/>
      <c r="SQU94" s="195"/>
      <c r="SQV94" s="195"/>
      <c r="SQW94" s="195"/>
      <c r="SQX94" s="195"/>
      <c r="SQY94" s="195"/>
      <c r="SQZ94" s="195"/>
      <c r="SRA94" s="195"/>
      <c r="SRB94" s="195"/>
      <c r="SRC94" s="195"/>
      <c r="SRD94" s="195"/>
      <c r="SRE94" s="195"/>
      <c r="SRF94" s="195"/>
      <c r="SRG94" s="195"/>
      <c r="SRH94" s="195"/>
      <c r="SRI94" s="195"/>
      <c r="SRJ94" s="195"/>
      <c r="SRK94" s="195"/>
      <c r="SRL94" s="195"/>
      <c r="SRM94" s="195"/>
      <c r="SRN94" s="195"/>
      <c r="SRO94" s="195"/>
      <c r="SRP94" s="195"/>
      <c r="SRQ94" s="195"/>
      <c r="SRR94" s="195"/>
      <c r="SRS94" s="195"/>
      <c r="SRT94" s="195"/>
      <c r="SRU94" s="195"/>
      <c r="SRV94" s="195"/>
      <c r="SRW94" s="195"/>
      <c r="SRX94" s="195"/>
      <c r="SRY94" s="195"/>
      <c r="SRZ94" s="195"/>
      <c r="SSA94" s="195"/>
      <c r="SSB94" s="195"/>
      <c r="SSC94" s="195"/>
      <c r="SSD94" s="195"/>
      <c r="SSE94" s="195"/>
      <c r="SSF94" s="195"/>
      <c r="SSG94" s="195"/>
      <c r="SSH94" s="195"/>
      <c r="SSI94" s="195"/>
      <c r="SSJ94" s="195"/>
      <c r="SSK94" s="195"/>
      <c r="SSL94" s="195"/>
      <c r="SSM94" s="195"/>
      <c r="SSN94" s="195"/>
      <c r="SSO94" s="195"/>
      <c r="SSP94" s="195"/>
      <c r="SSQ94" s="195"/>
      <c r="SSR94" s="195"/>
      <c r="SSS94" s="195"/>
      <c r="SST94" s="195"/>
      <c r="SSU94" s="195"/>
      <c r="SSV94" s="195"/>
      <c r="SSW94" s="195"/>
      <c r="SSX94" s="195"/>
      <c r="SSY94" s="195"/>
      <c r="SSZ94" s="195"/>
      <c r="STA94" s="195"/>
      <c r="STB94" s="195"/>
      <c r="STC94" s="195"/>
      <c r="STD94" s="195"/>
      <c r="STE94" s="195"/>
      <c r="STF94" s="195"/>
      <c r="STG94" s="195"/>
      <c r="STH94" s="195"/>
      <c r="STI94" s="195"/>
      <c r="STJ94" s="195"/>
      <c r="STK94" s="195"/>
      <c r="STL94" s="195"/>
      <c r="STM94" s="195"/>
      <c r="STN94" s="195"/>
      <c r="STO94" s="195"/>
      <c r="STP94" s="195"/>
      <c r="STQ94" s="195"/>
      <c r="STR94" s="195"/>
      <c r="STS94" s="195"/>
      <c r="STT94" s="195"/>
      <c r="STU94" s="195"/>
      <c r="STV94" s="195"/>
      <c r="STW94" s="195"/>
      <c r="STX94" s="195"/>
      <c r="STY94" s="195"/>
      <c r="STZ94" s="195"/>
      <c r="SUA94" s="195"/>
      <c r="SUB94" s="195"/>
      <c r="SUC94" s="195"/>
      <c r="SUD94" s="195"/>
      <c r="SUE94" s="195"/>
      <c r="SUF94" s="195"/>
      <c r="SUG94" s="195"/>
      <c r="SUH94" s="195"/>
      <c r="SUI94" s="195"/>
      <c r="SUJ94" s="195"/>
      <c r="SUK94" s="195"/>
      <c r="SUL94" s="195"/>
      <c r="SUM94" s="195"/>
      <c r="SUN94" s="195"/>
      <c r="SUO94" s="195"/>
      <c r="SUP94" s="195"/>
      <c r="SUQ94" s="195"/>
      <c r="SUR94" s="195"/>
      <c r="SUS94" s="195"/>
      <c r="SUT94" s="195"/>
      <c r="SUU94" s="195"/>
      <c r="SUV94" s="195"/>
      <c r="SUW94" s="195"/>
      <c r="SUX94" s="195"/>
      <c r="SUY94" s="195"/>
      <c r="SUZ94" s="195"/>
      <c r="SVA94" s="195"/>
      <c r="SVB94" s="195"/>
      <c r="SVC94" s="195"/>
      <c r="SVD94" s="195"/>
      <c r="SVE94" s="195"/>
      <c r="SVF94" s="195"/>
      <c r="SVG94" s="195"/>
      <c r="SVH94" s="195"/>
      <c r="SVI94" s="195"/>
      <c r="SVJ94" s="195"/>
      <c r="SVK94" s="195"/>
      <c r="SVL94" s="195"/>
      <c r="SVM94" s="195"/>
      <c r="SVN94" s="195"/>
      <c r="SVO94" s="195"/>
      <c r="SVP94" s="195"/>
      <c r="SVQ94" s="195"/>
      <c r="SVR94" s="195"/>
      <c r="SVS94" s="195"/>
      <c r="SVT94" s="195"/>
      <c r="SVU94" s="195"/>
      <c r="SVV94" s="195"/>
      <c r="SVW94" s="195"/>
      <c r="SVX94" s="195"/>
      <c r="SVY94" s="195"/>
      <c r="SVZ94" s="195"/>
      <c r="SWA94" s="195"/>
      <c r="SWB94" s="195"/>
      <c r="SWC94" s="195"/>
      <c r="SWD94" s="195"/>
      <c r="SWE94" s="195"/>
      <c r="SWF94" s="195"/>
      <c r="SWG94" s="195"/>
      <c r="SWH94" s="195"/>
      <c r="SWI94" s="195"/>
      <c r="SWJ94" s="195"/>
      <c r="SWK94" s="195"/>
      <c r="SWL94" s="195"/>
      <c r="SWM94" s="195"/>
      <c r="SWN94" s="195"/>
      <c r="SWO94" s="195"/>
      <c r="SWP94" s="195"/>
      <c r="SWQ94" s="195"/>
      <c r="SWR94" s="195"/>
      <c r="SWS94" s="195"/>
      <c r="SWT94" s="195"/>
      <c r="SWU94" s="195"/>
      <c r="SWV94" s="195"/>
      <c r="SWW94" s="195"/>
      <c r="SWX94" s="195"/>
      <c r="SWY94" s="195"/>
      <c r="SWZ94" s="195"/>
      <c r="SXA94" s="195"/>
      <c r="SXB94" s="195"/>
      <c r="SXC94" s="195"/>
      <c r="SXD94" s="195"/>
      <c r="SXE94" s="195"/>
      <c r="SXF94" s="195"/>
      <c r="SXG94" s="195"/>
      <c r="SXH94" s="195"/>
      <c r="SXI94" s="195"/>
      <c r="SXJ94" s="195"/>
      <c r="SXK94" s="195"/>
      <c r="SXL94" s="195"/>
      <c r="SXM94" s="195"/>
      <c r="SXN94" s="195"/>
      <c r="SXO94" s="195"/>
      <c r="SXP94" s="195"/>
      <c r="SXQ94" s="195"/>
      <c r="SXR94" s="195"/>
      <c r="SXS94" s="195"/>
      <c r="SXT94" s="195"/>
      <c r="SXU94" s="195"/>
      <c r="SXV94" s="195"/>
      <c r="SXW94" s="195"/>
      <c r="SXX94" s="195"/>
      <c r="SXY94" s="195"/>
      <c r="SXZ94" s="195"/>
      <c r="SYA94" s="195"/>
      <c r="SYB94" s="195"/>
      <c r="SYC94" s="195"/>
      <c r="SYD94" s="195"/>
      <c r="SYE94" s="195"/>
      <c r="SYF94" s="195"/>
      <c r="SYG94" s="195"/>
      <c r="SYH94" s="195"/>
      <c r="SYI94" s="195"/>
      <c r="SYJ94" s="195"/>
      <c r="SYK94" s="195"/>
      <c r="SYL94" s="195"/>
      <c r="SYM94" s="195"/>
      <c r="SYN94" s="195"/>
      <c r="SYO94" s="195"/>
      <c r="SYP94" s="195"/>
      <c r="SYQ94" s="195"/>
      <c r="SYR94" s="195"/>
      <c r="SYS94" s="195"/>
      <c r="SYT94" s="195"/>
      <c r="SYU94" s="195"/>
      <c r="SYV94" s="195"/>
      <c r="SYW94" s="195"/>
      <c r="SYX94" s="195"/>
      <c r="SYY94" s="195"/>
      <c r="SYZ94" s="195"/>
      <c r="SZA94" s="195"/>
      <c r="SZB94" s="195"/>
      <c r="SZC94" s="195"/>
      <c r="SZD94" s="195"/>
      <c r="SZE94" s="195"/>
      <c r="SZF94" s="195"/>
      <c r="SZG94" s="195"/>
      <c r="SZH94" s="195"/>
      <c r="SZI94" s="195"/>
      <c r="SZJ94" s="195"/>
      <c r="SZK94" s="195"/>
      <c r="SZL94" s="195"/>
      <c r="SZM94" s="195"/>
      <c r="SZN94" s="195"/>
      <c r="SZO94" s="195"/>
      <c r="SZP94" s="195"/>
      <c r="SZQ94" s="195"/>
      <c r="SZR94" s="195"/>
      <c r="SZS94" s="195"/>
      <c r="SZT94" s="195"/>
      <c r="SZU94" s="195"/>
      <c r="SZV94" s="195"/>
      <c r="SZW94" s="195"/>
      <c r="SZX94" s="195"/>
      <c r="SZY94" s="195"/>
      <c r="SZZ94" s="195"/>
      <c r="TAA94" s="195"/>
      <c r="TAB94" s="195"/>
      <c r="TAC94" s="195"/>
      <c r="TAD94" s="195"/>
      <c r="TAE94" s="195"/>
      <c r="TAF94" s="195"/>
      <c r="TAG94" s="195"/>
      <c r="TAH94" s="195"/>
      <c r="TAI94" s="195"/>
      <c r="TAJ94" s="195"/>
      <c r="TAK94" s="195"/>
      <c r="TAL94" s="195"/>
      <c r="TAM94" s="195"/>
      <c r="TAN94" s="195"/>
      <c r="TAO94" s="195"/>
      <c r="TAP94" s="195"/>
      <c r="TAQ94" s="195"/>
      <c r="TAR94" s="195"/>
      <c r="TAS94" s="195"/>
      <c r="TAT94" s="195"/>
      <c r="TAU94" s="195"/>
      <c r="TAV94" s="195"/>
      <c r="TAW94" s="195"/>
      <c r="TAX94" s="195"/>
      <c r="TAY94" s="195"/>
      <c r="TAZ94" s="195"/>
      <c r="TBA94" s="195"/>
      <c r="TBB94" s="195"/>
      <c r="TBC94" s="195"/>
      <c r="TBD94" s="195"/>
      <c r="TBE94" s="195"/>
      <c r="TBF94" s="195"/>
      <c r="TBG94" s="195"/>
      <c r="TBH94" s="195"/>
      <c r="TBI94" s="195"/>
      <c r="TBJ94" s="195"/>
      <c r="TBK94" s="195"/>
      <c r="TBL94" s="195"/>
      <c r="TBM94" s="195"/>
      <c r="TBN94" s="195"/>
      <c r="TBO94" s="195"/>
      <c r="TBP94" s="195"/>
      <c r="TBQ94" s="195"/>
      <c r="TBR94" s="195"/>
      <c r="TBS94" s="195"/>
      <c r="TBT94" s="195"/>
      <c r="TBU94" s="195"/>
      <c r="TBV94" s="195"/>
      <c r="TBW94" s="195"/>
      <c r="TBX94" s="195"/>
      <c r="TBY94" s="195"/>
      <c r="TBZ94" s="195"/>
      <c r="TCA94" s="195"/>
      <c r="TCB94" s="195"/>
      <c r="TCC94" s="195"/>
      <c r="TCD94" s="195"/>
      <c r="TCE94" s="195"/>
      <c r="TCF94" s="195"/>
      <c r="TCG94" s="195"/>
      <c r="TCH94" s="195"/>
      <c r="TCI94" s="195"/>
      <c r="TCJ94" s="195"/>
      <c r="TCK94" s="195"/>
      <c r="TCL94" s="195"/>
      <c r="TCM94" s="195"/>
      <c r="TCN94" s="195"/>
      <c r="TCO94" s="195"/>
      <c r="TCP94" s="195"/>
      <c r="TCQ94" s="195"/>
      <c r="TCR94" s="195"/>
      <c r="TCS94" s="195"/>
      <c r="TCT94" s="195"/>
      <c r="TCU94" s="195"/>
      <c r="TCV94" s="195"/>
      <c r="TCW94" s="195"/>
      <c r="TCX94" s="195"/>
      <c r="TCY94" s="195"/>
      <c r="TCZ94" s="195"/>
      <c r="TDA94" s="195"/>
      <c r="TDB94" s="195"/>
      <c r="TDC94" s="195"/>
      <c r="TDD94" s="195"/>
      <c r="TDE94" s="195"/>
      <c r="TDF94" s="195"/>
      <c r="TDG94" s="195"/>
      <c r="TDH94" s="195"/>
      <c r="TDI94" s="195"/>
      <c r="TDJ94" s="195"/>
      <c r="TDK94" s="195"/>
      <c r="TDL94" s="195"/>
      <c r="TDM94" s="195"/>
      <c r="TDN94" s="195"/>
      <c r="TDO94" s="195"/>
      <c r="TDP94" s="195"/>
      <c r="TDQ94" s="195"/>
      <c r="TDR94" s="195"/>
      <c r="TDS94" s="195"/>
      <c r="TDT94" s="195"/>
      <c r="TDU94" s="195"/>
      <c r="TDV94" s="195"/>
      <c r="TDW94" s="195"/>
      <c r="TDX94" s="195"/>
      <c r="TDY94" s="195"/>
      <c r="TDZ94" s="195"/>
      <c r="TEA94" s="195"/>
      <c r="TEB94" s="195"/>
      <c r="TEC94" s="195"/>
      <c r="TED94" s="195"/>
      <c r="TEE94" s="195"/>
      <c r="TEF94" s="195"/>
      <c r="TEG94" s="195"/>
      <c r="TEH94" s="195"/>
      <c r="TEI94" s="195"/>
      <c r="TEJ94" s="195"/>
      <c r="TEK94" s="195"/>
      <c r="TEL94" s="195"/>
      <c r="TEM94" s="195"/>
      <c r="TEN94" s="195"/>
      <c r="TEO94" s="195"/>
      <c r="TEP94" s="195"/>
      <c r="TEQ94" s="195"/>
      <c r="TER94" s="195"/>
      <c r="TES94" s="195"/>
      <c r="TET94" s="195"/>
      <c r="TEU94" s="195"/>
      <c r="TEV94" s="195"/>
      <c r="TEW94" s="195"/>
      <c r="TEX94" s="195"/>
      <c r="TEY94" s="195"/>
      <c r="TEZ94" s="195"/>
      <c r="TFA94" s="195"/>
      <c r="TFB94" s="195"/>
      <c r="TFC94" s="195"/>
      <c r="TFD94" s="195"/>
      <c r="TFE94" s="195"/>
      <c r="TFF94" s="195"/>
      <c r="TFG94" s="195"/>
      <c r="TFH94" s="195"/>
      <c r="TFI94" s="195"/>
      <c r="TFJ94" s="195"/>
      <c r="TFK94" s="195"/>
      <c r="TFL94" s="195"/>
      <c r="TFM94" s="195"/>
      <c r="TFN94" s="195"/>
      <c r="TFO94" s="195"/>
      <c r="TFP94" s="195"/>
      <c r="TFQ94" s="195"/>
      <c r="TFR94" s="195"/>
      <c r="TFS94" s="195"/>
      <c r="TFT94" s="195"/>
      <c r="TFU94" s="195"/>
      <c r="TFV94" s="195"/>
      <c r="TFW94" s="195"/>
      <c r="TFX94" s="195"/>
      <c r="TFY94" s="195"/>
      <c r="TFZ94" s="195"/>
      <c r="TGA94" s="195"/>
      <c r="TGB94" s="195"/>
      <c r="TGC94" s="195"/>
      <c r="TGD94" s="195"/>
      <c r="TGE94" s="195"/>
      <c r="TGF94" s="195"/>
      <c r="TGG94" s="195"/>
      <c r="TGH94" s="195"/>
      <c r="TGI94" s="195"/>
      <c r="TGJ94" s="195"/>
      <c r="TGK94" s="195"/>
      <c r="TGL94" s="195"/>
      <c r="TGM94" s="195"/>
      <c r="TGN94" s="195"/>
      <c r="TGO94" s="195"/>
      <c r="TGP94" s="195"/>
      <c r="TGQ94" s="195"/>
      <c r="TGR94" s="195"/>
      <c r="TGS94" s="195"/>
      <c r="TGT94" s="195"/>
      <c r="TGU94" s="195"/>
      <c r="TGV94" s="195"/>
      <c r="TGW94" s="195"/>
      <c r="TGX94" s="195"/>
      <c r="TGY94" s="195"/>
      <c r="TGZ94" s="195"/>
      <c r="THA94" s="195"/>
      <c r="THB94" s="195"/>
      <c r="THC94" s="195"/>
      <c r="THD94" s="195"/>
      <c r="THE94" s="195"/>
      <c r="THF94" s="195"/>
      <c r="THG94" s="195"/>
      <c r="THH94" s="195"/>
      <c r="THI94" s="195"/>
      <c r="THJ94" s="195"/>
      <c r="THK94" s="195"/>
      <c r="THL94" s="195"/>
      <c r="THM94" s="195"/>
      <c r="THN94" s="195"/>
      <c r="THO94" s="195"/>
      <c r="THP94" s="195"/>
      <c r="THQ94" s="195"/>
      <c r="THR94" s="195"/>
      <c r="THS94" s="195"/>
      <c r="THT94" s="195"/>
      <c r="THU94" s="195"/>
      <c r="THV94" s="195"/>
      <c r="THW94" s="195"/>
      <c r="THX94" s="195"/>
      <c r="THY94" s="195"/>
      <c r="THZ94" s="195"/>
      <c r="TIA94" s="195"/>
      <c r="TIB94" s="195"/>
      <c r="TIC94" s="195"/>
      <c r="TID94" s="195"/>
      <c r="TIE94" s="195"/>
      <c r="TIF94" s="195"/>
      <c r="TIG94" s="195"/>
      <c r="TIH94" s="195"/>
      <c r="TII94" s="195"/>
      <c r="TIJ94" s="195"/>
      <c r="TIK94" s="195"/>
      <c r="TIL94" s="195"/>
      <c r="TIM94" s="195"/>
      <c r="TIN94" s="195"/>
      <c r="TIO94" s="195"/>
      <c r="TIP94" s="195"/>
      <c r="TIQ94" s="195"/>
      <c r="TIR94" s="195"/>
      <c r="TIS94" s="195"/>
      <c r="TIT94" s="195"/>
      <c r="TIU94" s="195"/>
      <c r="TIV94" s="195"/>
      <c r="TIW94" s="195"/>
      <c r="TIX94" s="195"/>
      <c r="TIY94" s="195"/>
      <c r="TIZ94" s="195"/>
      <c r="TJA94" s="195"/>
      <c r="TJB94" s="195"/>
      <c r="TJC94" s="195"/>
      <c r="TJD94" s="195"/>
      <c r="TJE94" s="195"/>
      <c r="TJF94" s="195"/>
      <c r="TJG94" s="195"/>
      <c r="TJH94" s="195"/>
      <c r="TJI94" s="195"/>
      <c r="TJJ94" s="195"/>
      <c r="TJK94" s="195"/>
      <c r="TJL94" s="195"/>
      <c r="TJM94" s="195"/>
      <c r="TJN94" s="195"/>
      <c r="TJO94" s="195"/>
      <c r="TJP94" s="195"/>
      <c r="TJQ94" s="195"/>
      <c r="TJR94" s="195"/>
      <c r="TJS94" s="195"/>
      <c r="TJT94" s="195"/>
      <c r="TJU94" s="195"/>
      <c r="TJV94" s="195"/>
      <c r="TJW94" s="195"/>
      <c r="TJX94" s="195"/>
      <c r="TJY94" s="195"/>
      <c r="TJZ94" s="195"/>
      <c r="TKA94" s="195"/>
      <c r="TKB94" s="195"/>
      <c r="TKC94" s="195"/>
      <c r="TKD94" s="195"/>
      <c r="TKE94" s="195"/>
      <c r="TKF94" s="195"/>
      <c r="TKG94" s="195"/>
      <c r="TKH94" s="195"/>
      <c r="TKI94" s="195"/>
      <c r="TKJ94" s="195"/>
      <c r="TKK94" s="195"/>
      <c r="TKL94" s="195"/>
      <c r="TKM94" s="195"/>
      <c r="TKN94" s="195"/>
      <c r="TKO94" s="195"/>
      <c r="TKP94" s="195"/>
      <c r="TKQ94" s="195"/>
      <c r="TKR94" s="195"/>
      <c r="TKS94" s="195"/>
      <c r="TKT94" s="195"/>
      <c r="TKU94" s="195"/>
      <c r="TKV94" s="195"/>
      <c r="TKW94" s="195"/>
      <c r="TKX94" s="195"/>
      <c r="TKY94" s="195"/>
      <c r="TKZ94" s="195"/>
      <c r="TLA94" s="195"/>
      <c r="TLB94" s="195"/>
      <c r="TLC94" s="195"/>
      <c r="TLD94" s="195"/>
      <c r="TLE94" s="195"/>
      <c r="TLF94" s="195"/>
      <c r="TLG94" s="195"/>
      <c r="TLH94" s="195"/>
      <c r="TLI94" s="195"/>
      <c r="TLJ94" s="195"/>
      <c r="TLK94" s="195"/>
      <c r="TLL94" s="195"/>
      <c r="TLM94" s="195"/>
      <c r="TLN94" s="195"/>
      <c r="TLO94" s="195"/>
      <c r="TLP94" s="195"/>
      <c r="TLQ94" s="195"/>
      <c r="TLR94" s="195"/>
      <c r="TLS94" s="195"/>
      <c r="TLT94" s="195"/>
      <c r="TLU94" s="195"/>
      <c r="TLV94" s="195"/>
      <c r="TLW94" s="195"/>
      <c r="TLX94" s="195"/>
      <c r="TLY94" s="195"/>
      <c r="TLZ94" s="195"/>
      <c r="TMA94" s="195"/>
      <c r="TMB94" s="195"/>
      <c r="TMC94" s="195"/>
      <c r="TMD94" s="195"/>
      <c r="TME94" s="195"/>
      <c r="TMF94" s="195"/>
      <c r="TMG94" s="195"/>
      <c r="TMH94" s="195"/>
      <c r="TMI94" s="195"/>
      <c r="TMJ94" s="195"/>
      <c r="TMK94" s="195"/>
      <c r="TML94" s="195"/>
      <c r="TMM94" s="195"/>
      <c r="TMN94" s="195"/>
      <c r="TMO94" s="195"/>
      <c r="TMP94" s="195"/>
      <c r="TMQ94" s="195"/>
      <c r="TMR94" s="195"/>
      <c r="TMS94" s="195"/>
      <c r="TMT94" s="195"/>
      <c r="TMU94" s="195"/>
      <c r="TMV94" s="195"/>
      <c r="TMW94" s="195"/>
      <c r="TMX94" s="195"/>
      <c r="TMY94" s="195"/>
      <c r="TMZ94" s="195"/>
      <c r="TNA94" s="195"/>
      <c r="TNB94" s="195"/>
      <c r="TNC94" s="195"/>
      <c r="TND94" s="195"/>
      <c r="TNE94" s="195"/>
      <c r="TNF94" s="195"/>
      <c r="TNG94" s="195"/>
      <c r="TNH94" s="195"/>
      <c r="TNI94" s="195"/>
      <c r="TNJ94" s="195"/>
      <c r="TNK94" s="195"/>
      <c r="TNL94" s="195"/>
      <c r="TNM94" s="195"/>
      <c r="TNN94" s="195"/>
      <c r="TNO94" s="195"/>
      <c r="TNP94" s="195"/>
      <c r="TNQ94" s="195"/>
      <c r="TNR94" s="195"/>
      <c r="TNS94" s="195"/>
      <c r="TNT94" s="195"/>
      <c r="TNU94" s="195"/>
      <c r="TNV94" s="195"/>
      <c r="TNW94" s="195"/>
      <c r="TNX94" s="195"/>
      <c r="TNY94" s="195"/>
      <c r="TNZ94" s="195"/>
      <c r="TOA94" s="195"/>
      <c r="TOB94" s="195"/>
      <c r="TOC94" s="195"/>
      <c r="TOD94" s="195"/>
      <c r="TOE94" s="195"/>
      <c r="TOF94" s="195"/>
      <c r="TOG94" s="195"/>
      <c r="TOH94" s="195"/>
      <c r="TOI94" s="195"/>
      <c r="TOJ94" s="195"/>
      <c r="TOK94" s="195"/>
      <c r="TOL94" s="195"/>
      <c r="TOM94" s="195"/>
      <c r="TON94" s="195"/>
      <c r="TOO94" s="195"/>
      <c r="TOP94" s="195"/>
      <c r="TOQ94" s="195"/>
      <c r="TOR94" s="195"/>
      <c r="TOS94" s="195"/>
      <c r="TOT94" s="195"/>
      <c r="TOU94" s="195"/>
      <c r="TOV94" s="195"/>
      <c r="TOW94" s="195"/>
      <c r="TOX94" s="195"/>
      <c r="TOY94" s="195"/>
      <c r="TOZ94" s="195"/>
      <c r="TPA94" s="195"/>
      <c r="TPB94" s="195"/>
      <c r="TPC94" s="195"/>
      <c r="TPD94" s="195"/>
      <c r="TPE94" s="195"/>
      <c r="TPF94" s="195"/>
      <c r="TPG94" s="195"/>
      <c r="TPH94" s="195"/>
      <c r="TPI94" s="195"/>
      <c r="TPJ94" s="195"/>
      <c r="TPK94" s="195"/>
      <c r="TPL94" s="195"/>
      <c r="TPM94" s="195"/>
      <c r="TPN94" s="195"/>
      <c r="TPO94" s="195"/>
      <c r="TPP94" s="195"/>
      <c r="TPQ94" s="195"/>
      <c r="TPR94" s="195"/>
      <c r="TPS94" s="195"/>
      <c r="TPT94" s="195"/>
      <c r="TPU94" s="195"/>
      <c r="TPV94" s="195"/>
      <c r="TPW94" s="195"/>
      <c r="TPX94" s="195"/>
      <c r="TPY94" s="195"/>
      <c r="TPZ94" s="195"/>
      <c r="TQA94" s="195"/>
      <c r="TQB94" s="195"/>
      <c r="TQC94" s="195"/>
      <c r="TQD94" s="195"/>
      <c r="TQE94" s="195"/>
      <c r="TQF94" s="195"/>
      <c r="TQG94" s="195"/>
      <c r="TQH94" s="195"/>
      <c r="TQI94" s="195"/>
      <c r="TQJ94" s="195"/>
      <c r="TQK94" s="195"/>
      <c r="TQL94" s="195"/>
      <c r="TQM94" s="195"/>
      <c r="TQN94" s="195"/>
      <c r="TQO94" s="195"/>
      <c r="TQP94" s="195"/>
      <c r="TQQ94" s="195"/>
      <c r="TQR94" s="195"/>
      <c r="TQS94" s="195"/>
      <c r="TQT94" s="195"/>
      <c r="TQU94" s="195"/>
      <c r="TQV94" s="195"/>
      <c r="TQW94" s="195"/>
      <c r="TQX94" s="195"/>
      <c r="TQY94" s="195"/>
      <c r="TQZ94" s="195"/>
      <c r="TRA94" s="195"/>
      <c r="TRB94" s="195"/>
      <c r="TRC94" s="195"/>
      <c r="TRD94" s="195"/>
      <c r="TRE94" s="195"/>
      <c r="TRF94" s="195"/>
      <c r="TRG94" s="195"/>
      <c r="TRH94" s="195"/>
      <c r="TRI94" s="195"/>
      <c r="TRJ94" s="195"/>
      <c r="TRK94" s="195"/>
      <c r="TRL94" s="195"/>
      <c r="TRM94" s="195"/>
      <c r="TRN94" s="195"/>
      <c r="TRO94" s="195"/>
      <c r="TRP94" s="195"/>
      <c r="TRQ94" s="195"/>
      <c r="TRR94" s="195"/>
      <c r="TRS94" s="195"/>
      <c r="TRT94" s="195"/>
      <c r="TRU94" s="195"/>
      <c r="TRV94" s="195"/>
      <c r="TRW94" s="195"/>
      <c r="TRX94" s="195"/>
      <c r="TRY94" s="195"/>
      <c r="TRZ94" s="195"/>
      <c r="TSA94" s="195"/>
      <c r="TSB94" s="195"/>
      <c r="TSC94" s="195"/>
      <c r="TSD94" s="195"/>
      <c r="TSE94" s="195"/>
      <c r="TSF94" s="195"/>
      <c r="TSG94" s="195"/>
      <c r="TSH94" s="195"/>
      <c r="TSI94" s="195"/>
      <c r="TSJ94" s="195"/>
      <c r="TSK94" s="195"/>
      <c r="TSL94" s="195"/>
      <c r="TSM94" s="195"/>
      <c r="TSN94" s="195"/>
      <c r="TSO94" s="195"/>
      <c r="TSP94" s="195"/>
      <c r="TSQ94" s="195"/>
      <c r="TSR94" s="195"/>
      <c r="TSS94" s="195"/>
      <c r="TST94" s="195"/>
      <c r="TSU94" s="195"/>
      <c r="TSV94" s="195"/>
      <c r="TSW94" s="195"/>
      <c r="TSX94" s="195"/>
      <c r="TSY94" s="195"/>
      <c r="TSZ94" s="195"/>
      <c r="TTA94" s="195"/>
      <c r="TTB94" s="195"/>
      <c r="TTC94" s="195"/>
      <c r="TTD94" s="195"/>
      <c r="TTE94" s="195"/>
      <c r="TTF94" s="195"/>
      <c r="TTG94" s="195"/>
      <c r="TTH94" s="195"/>
      <c r="TTI94" s="195"/>
      <c r="TTJ94" s="195"/>
      <c r="TTK94" s="195"/>
      <c r="TTL94" s="195"/>
      <c r="TTM94" s="195"/>
      <c r="TTN94" s="195"/>
      <c r="TTO94" s="195"/>
      <c r="TTP94" s="195"/>
      <c r="TTQ94" s="195"/>
      <c r="TTR94" s="195"/>
      <c r="TTS94" s="195"/>
      <c r="TTT94" s="195"/>
      <c r="TTU94" s="195"/>
      <c r="TTV94" s="195"/>
      <c r="TTW94" s="195"/>
      <c r="TTX94" s="195"/>
      <c r="TTY94" s="195"/>
      <c r="TTZ94" s="195"/>
      <c r="TUA94" s="195"/>
      <c r="TUB94" s="195"/>
      <c r="TUC94" s="195"/>
      <c r="TUD94" s="195"/>
      <c r="TUE94" s="195"/>
      <c r="TUF94" s="195"/>
      <c r="TUG94" s="195"/>
      <c r="TUH94" s="195"/>
      <c r="TUI94" s="195"/>
      <c r="TUJ94" s="195"/>
      <c r="TUK94" s="195"/>
      <c r="TUL94" s="195"/>
      <c r="TUM94" s="195"/>
      <c r="TUN94" s="195"/>
      <c r="TUO94" s="195"/>
      <c r="TUP94" s="195"/>
      <c r="TUQ94" s="195"/>
      <c r="TUR94" s="195"/>
      <c r="TUS94" s="195"/>
      <c r="TUT94" s="195"/>
      <c r="TUU94" s="195"/>
      <c r="TUV94" s="195"/>
      <c r="TUW94" s="195"/>
      <c r="TUX94" s="195"/>
      <c r="TUY94" s="195"/>
      <c r="TUZ94" s="195"/>
      <c r="TVA94" s="195"/>
      <c r="TVB94" s="195"/>
      <c r="TVC94" s="195"/>
      <c r="TVD94" s="195"/>
      <c r="TVE94" s="195"/>
      <c r="TVF94" s="195"/>
      <c r="TVG94" s="195"/>
      <c r="TVH94" s="195"/>
      <c r="TVI94" s="195"/>
      <c r="TVJ94" s="195"/>
      <c r="TVK94" s="195"/>
      <c r="TVL94" s="195"/>
      <c r="TVM94" s="195"/>
      <c r="TVN94" s="195"/>
      <c r="TVO94" s="195"/>
      <c r="TVP94" s="195"/>
      <c r="TVQ94" s="195"/>
      <c r="TVR94" s="195"/>
      <c r="TVS94" s="195"/>
      <c r="TVT94" s="195"/>
      <c r="TVU94" s="195"/>
      <c r="TVV94" s="195"/>
      <c r="TVW94" s="195"/>
      <c r="TVX94" s="195"/>
      <c r="TVY94" s="195"/>
      <c r="TVZ94" s="195"/>
      <c r="TWA94" s="195"/>
      <c r="TWB94" s="195"/>
      <c r="TWC94" s="195"/>
      <c r="TWD94" s="195"/>
      <c r="TWE94" s="195"/>
      <c r="TWF94" s="195"/>
      <c r="TWG94" s="195"/>
      <c r="TWH94" s="195"/>
      <c r="TWI94" s="195"/>
      <c r="TWJ94" s="195"/>
      <c r="TWK94" s="195"/>
      <c r="TWL94" s="195"/>
      <c r="TWM94" s="195"/>
      <c r="TWN94" s="195"/>
      <c r="TWO94" s="195"/>
      <c r="TWP94" s="195"/>
      <c r="TWQ94" s="195"/>
      <c r="TWR94" s="195"/>
      <c r="TWS94" s="195"/>
      <c r="TWT94" s="195"/>
      <c r="TWU94" s="195"/>
      <c r="TWV94" s="195"/>
      <c r="TWW94" s="195"/>
      <c r="TWX94" s="195"/>
      <c r="TWY94" s="195"/>
      <c r="TWZ94" s="195"/>
      <c r="TXA94" s="195"/>
      <c r="TXB94" s="195"/>
      <c r="TXC94" s="195"/>
      <c r="TXD94" s="195"/>
      <c r="TXE94" s="195"/>
      <c r="TXF94" s="195"/>
      <c r="TXG94" s="195"/>
      <c r="TXH94" s="195"/>
      <c r="TXI94" s="195"/>
      <c r="TXJ94" s="195"/>
      <c r="TXK94" s="195"/>
      <c r="TXL94" s="195"/>
      <c r="TXM94" s="195"/>
      <c r="TXN94" s="195"/>
      <c r="TXO94" s="195"/>
      <c r="TXP94" s="195"/>
      <c r="TXQ94" s="195"/>
      <c r="TXR94" s="195"/>
      <c r="TXS94" s="195"/>
      <c r="TXT94" s="195"/>
      <c r="TXU94" s="195"/>
      <c r="TXV94" s="195"/>
      <c r="TXW94" s="195"/>
      <c r="TXX94" s="195"/>
      <c r="TXY94" s="195"/>
      <c r="TXZ94" s="195"/>
      <c r="TYA94" s="195"/>
      <c r="TYB94" s="195"/>
      <c r="TYC94" s="195"/>
      <c r="TYD94" s="195"/>
      <c r="TYE94" s="195"/>
      <c r="TYF94" s="195"/>
      <c r="TYG94" s="195"/>
      <c r="TYH94" s="195"/>
      <c r="TYI94" s="195"/>
      <c r="TYJ94" s="195"/>
      <c r="TYK94" s="195"/>
      <c r="TYL94" s="195"/>
      <c r="TYM94" s="195"/>
      <c r="TYN94" s="195"/>
      <c r="TYO94" s="195"/>
      <c r="TYP94" s="195"/>
      <c r="TYQ94" s="195"/>
      <c r="TYR94" s="195"/>
      <c r="TYS94" s="195"/>
      <c r="TYT94" s="195"/>
      <c r="TYU94" s="195"/>
      <c r="TYV94" s="195"/>
      <c r="TYW94" s="195"/>
      <c r="TYX94" s="195"/>
      <c r="TYY94" s="195"/>
      <c r="TYZ94" s="195"/>
      <c r="TZA94" s="195"/>
      <c r="TZB94" s="195"/>
      <c r="TZC94" s="195"/>
      <c r="TZD94" s="195"/>
      <c r="TZE94" s="195"/>
      <c r="TZF94" s="195"/>
      <c r="TZG94" s="195"/>
      <c r="TZH94" s="195"/>
      <c r="TZI94" s="195"/>
      <c r="TZJ94" s="195"/>
      <c r="TZK94" s="195"/>
      <c r="TZL94" s="195"/>
      <c r="TZM94" s="195"/>
      <c r="TZN94" s="195"/>
      <c r="TZO94" s="195"/>
      <c r="TZP94" s="195"/>
      <c r="TZQ94" s="195"/>
      <c r="TZR94" s="195"/>
      <c r="TZS94" s="195"/>
      <c r="TZT94" s="195"/>
      <c r="TZU94" s="195"/>
      <c r="TZV94" s="195"/>
      <c r="TZW94" s="195"/>
      <c r="TZX94" s="195"/>
      <c r="TZY94" s="195"/>
      <c r="TZZ94" s="195"/>
      <c r="UAA94" s="195"/>
      <c r="UAB94" s="195"/>
      <c r="UAC94" s="195"/>
      <c r="UAD94" s="195"/>
      <c r="UAE94" s="195"/>
      <c r="UAF94" s="195"/>
      <c r="UAG94" s="195"/>
      <c r="UAH94" s="195"/>
      <c r="UAI94" s="195"/>
      <c r="UAJ94" s="195"/>
      <c r="UAK94" s="195"/>
      <c r="UAL94" s="195"/>
      <c r="UAM94" s="195"/>
      <c r="UAN94" s="195"/>
      <c r="UAO94" s="195"/>
      <c r="UAP94" s="195"/>
      <c r="UAQ94" s="195"/>
      <c r="UAR94" s="195"/>
      <c r="UAS94" s="195"/>
      <c r="UAT94" s="195"/>
      <c r="UAU94" s="195"/>
      <c r="UAV94" s="195"/>
      <c r="UAW94" s="195"/>
      <c r="UAX94" s="195"/>
      <c r="UAY94" s="195"/>
      <c r="UAZ94" s="195"/>
      <c r="UBA94" s="195"/>
      <c r="UBB94" s="195"/>
      <c r="UBC94" s="195"/>
      <c r="UBD94" s="195"/>
      <c r="UBE94" s="195"/>
      <c r="UBF94" s="195"/>
      <c r="UBG94" s="195"/>
      <c r="UBH94" s="195"/>
      <c r="UBI94" s="195"/>
      <c r="UBJ94" s="195"/>
      <c r="UBK94" s="195"/>
      <c r="UBL94" s="195"/>
      <c r="UBM94" s="195"/>
      <c r="UBN94" s="195"/>
      <c r="UBO94" s="195"/>
      <c r="UBP94" s="195"/>
      <c r="UBQ94" s="195"/>
      <c r="UBR94" s="195"/>
      <c r="UBS94" s="195"/>
      <c r="UBT94" s="195"/>
      <c r="UBU94" s="195"/>
      <c r="UBV94" s="195"/>
      <c r="UBW94" s="195"/>
      <c r="UBX94" s="195"/>
      <c r="UBY94" s="195"/>
      <c r="UBZ94" s="195"/>
      <c r="UCA94" s="195"/>
      <c r="UCB94" s="195"/>
      <c r="UCC94" s="195"/>
      <c r="UCD94" s="195"/>
      <c r="UCE94" s="195"/>
      <c r="UCF94" s="195"/>
      <c r="UCG94" s="195"/>
      <c r="UCH94" s="195"/>
      <c r="UCI94" s="195"/>
      <c r="UCJ94" s="195"/>
      <c r="UCK94" s="195"/>
      <c r="UCL94" s="195"/>
      <c r="UCM94" s="195"/>
      <c r="UCN94" s="195"/>
      <c r="UCO94" s="195"/>
      <c r="UCP94" s="195"/>
      <c r="UCQ94" s="195"/>
      <c r="UCR94" s="195"/>
      <c r="UCS94" s="195"/>
      <c r="UCT94" s="195"/>
      <c r="UCU94" s="195"/>
      <c r="UCV94" s="195"/>
      <c r="UCW94" s="195"/>
      <c r="UCX94" s="195"/>
      <c r="UCY94" s="195"/>
      <c r="UCZ94" s="195"/>
      <c r="UDA94" s="195"/>
      <c r="UDB94" s="195"/>
      <c r="UDC94" s="195"/>
      <c r="UDD94" s="195"/>
      <c r="UDE94" s="195"/>
      <c r="UDF94" s="195"/>
      <c r="UDG94" s="195"/>
      <c r="UDH94" s="195"/>
      <c r="UDI94" s="195"/>
      <c r="UDJ94" s="195"/>
      <c r="UDK94" s="195"/>
      <c r="UDL94" s="195"/>
      <c r="UDM94" s="195"/>
      <c r="UDN94" s="195"/>
      <c r="UDO94" s="195"/>
      <c r="UDP94" s="195"/>
      <c r="UDQ94" s="195"/>
      <c r="UDR94" s="195"/>
      <c r="UDS94" s="195"/>
      <c r="UDT94" s="195"/>
      <c r="UDU94" s="195"/>
      <c r="UDV94" s="195"/>
      <c r="UDW94" s="195"/>
      <c r="UDX94" s="195"/>
      <c r="UDY94" s="195"/>
      <c r="UDZ94" s="195"/>
      <c r="UEA94" s="195"/>
      <c r="UEB94" s="195"/>
      <c r="UEC94" s="195"/>
      <c r="UED94" s="195"/>
      <c r="UEE94" s="195"/>
      <c r="UEF94" s="195"/>
      <c r="UEG94" s="195"/>
      <c r="UEH94" s="195"/>
      <c r="UEI94" s="195"/>
      <c r="UEJ94" s="195"/>
      <c r="UEK94" s="195"/>
      <c r="UEL94" s="195"/>
      <c r="UEM94" s="195"/>
      <c r="UEN94" s="195"/>
      <c r="UEO94" s="195"/>
      <c r="UEP94" s="195"/>
      <c r="UEQ94" s="195"/>
      <c r="UER94" s="195"/>
      <c r="UES94" s="195"/>
      <c r="UET94" s="195"/>
      <c r="UEU94" s="195"/>
      <c r="UEV94" s="195"/>
      <c r="UEW94" s="195"/>
      <c r="UEX94" s="195"/>
      <c r="UEY94" s="195"/>
      <c r="UEZ94" s="195"/>
      <c r="UFA94" s="195"/>
      <c r="UFB94" s="195"/>
      <c r="UFC94" s="195"/>
      <c r="UFD94" s="195"/>
      <c r="UFE94" s="195"/>
      <c r="UFF94" s="195"/>
      <c r="UFG94" s="195"/>
      <c r="UFH94" s="195"/>
      <c r="UFI94" s="195"/>
      <c r="UFJ94" s="195"/>
      <c r="UFK94" s="195"/>
      <c r="UFL94" s="195"/>
      <c r="UFM94" s="195"/>
      <c r="UFN94" s="195"/>
      <c r="UFO94" s="195"/>
      <c r="UFP94" s="195"/>
      <c r="UFQ94" s="195"/>
      <c r="UFR94" s="195"/>
      <c r="UFS94" s="195"/>
      <c r="UFT94" s="195"/>
      <c r="UFU94" s="195"/>
      <c r="UFV94" s="195"/>
      <c r="UFW94" s="195"/>
      <c r="UFX94" s="195"/>
      <c r="UFY94" s="195"/>
      <c r="UFZ94" s="195"/>
      <c r="UGA94" s="195"/>
      <c r="UGB94" s="195"/>
      <c r="UGC94" s="195"/>
      <c r="UGD94" s="195"/>
      <c r="UGE94" s="195"/>
      <c r="UGF94" s="195"/>
      <c r="UGG94" s="195"/>
      <c r="UGH94" s="195"/>
      <c r="UGI94" s="195"/>
      <c r="UGJ94" s="195"/>
      <c r="UGK94" s="195"/>
      <c r="UGL94" s="195"/>
      <c r="UGM94" s="195"/>
      <c r="UGN94" s="195"/>
      <c r="UGO94" s="195"/>
      <c r="UGP94" s="195"/>
      <c r="UGQ94" s="195"/>
      <c r="UGR94" s="195"/>
      <c r="UGS94" s="195"/>
      <c r="UGT94" s="195"/>
      <c r="UGU94" s="195"/>
      <c r="UGV94" s="195"/>
      <c r="UGW94" s="195"/>
      <c r="UGX94" s="195"/>
      <c r="UGY94" s="195"/>
      <c r="UGZ94" s="195"/>
      <c r="UHA94" s="195"/>
      <c r="UHB94" s="195"/>
      <c r="UHC94" s="195"/>
      <c r="UHD94" s="195"/>
      <c r="UHE94" s="195"/>
      <c r="UHF94" s="195"/>
      <c r="UHG94" s="195"/>
      <c r="UHH94" s="195"/>
      <c r="UHI94" s="195"/>
      <c r="UHJ94" s="195"/>
      <c r="UHK94" s="195"/>
      <c r="UHL94" s="195"/>
      <c r="UHM94" s="195"/>
      <c r="UHN94" s="195"/>
      <c r="UHO94" s="195"/>
      <c r="UHP94" s="195"/>
      <c r="UHQ94" s="195"/>
      <c r="UHR94" s="195"/>
      <c r="UHS94" s="195"/>
      <c r="UHT94" s="195"/>
      <c r="UHU94" s="195"/>
      <c r="UHV94" s="195"/>
      <c r="UHW94" s="195"/>
      <c r="UHX94" s="195"/>
      <c r="UHY94" s="195"/>
      <c r="UHZ94" s="195"/>
      <c r="UIA94" s="195"/>
      <c r="UIB94" s="195"/>
      <c r="UIC94" s="195"/>
      <c r="UID94" s="195"/>
      <c r="UIE94" s="195"/>
      <c r="UIF94" s="195"/>
      <c r="UIG94" s="195"/>
      <c r="UIH94" s="195"/>
      <c r="UII94" s="195"/>
      <c r="UIJ94" s="195"/>
      <c r="UIK94" s="195"/>
      <c r="UIL94" s="195"/>
      <c r="UIM94" s="195"/>
      <c r="UIN94" s="195"/>
      <c r="UIO94" s="195"/>
      <c r="UIP94" s="195"/>
      <c r="UIQ94" s="195"/>
      <c r="UIR94" s="195"/>
      <c r="UIS94" s="195"/>
      <c r="UIT94" s="195"/>
      <c r="UIU94" s="195"/>
      <c r="UIV94" s="195"/>
      <c r="UIW94" s="195"/>
      <c r="UIX94" s="195"/>
      <c r="UIY94" s="195"/>
      <c r="UIZ94" s="195"/>
      <c r="UJA94" s="195"/>
      <c r="UJB94" s="195"/>
      <c r="UJC94" s="195"/>
      <c r="UJD94" s="195"/>
      <c r="UJE94" s="195"/>
      <c r="UJF94" s="195"/>
      <c r="UJG94" s="195"/>
      <c r="UJH94" s="195"/>
      <c r="UJI94" s="195"/>
      <c r="UJJ94" s="195"/>
      <c r="UJK94" s="195"/>
      <c r="UJL94" s="195"/>
      <c r="UJM94" s="195"/>
      <c r="UJN94" s="195"/>
      <c r="UJO94" s="195"/>
      <c r="UJP94" s="195"/>
      <c r="UJQ94" s="195"/>
      <c r="UJR94" s="195"/>
      <c r="UJS94" s="195"/>
      <c r="UJT94" s="195"/>
      <c r="UJU94" s="195"/>
      <c r="UJV94" s="195"/>
      <c r="UJW94" s="195"/>
      <c r="UJX94" s="195"/>
      <c r="UJY94" s="195"/>
      <c r="UJZ94" s="195"/>
      <c r="UKA94" s="195"/>
      <c r="UKB94" s="195"/>
      <c r="UKC94" s="195"/>
      <c r="UKD94" s="195"/>
      <c r="UKE94" s="195"/>
      <c r="UKF94" s="195"/>
      <c r="UKG94" s="195"/>
      <c r="UKH94" s="195"/>
      <c r="UKI94" s="195"/>
      <c r="UKJ94" s="195"/>
      <c r="UKK94" s="195"/>
      <c r="UKL94" s="195"/>
      <c r="UKM94" s="195"/>
      <c r="UKN94" s="195"/>
      <c r="UKO94" s="195"/>
      <c r="UKP94" s="195"/>
      <c r="UKQ94" s="195"/>
      <c r="UKR94" s="195"/>
      <c r="UKS94" s="195"/>
      <c r="UKT94" s="195"/>
      <c r="UKU94" s="195"/>
      <c r="UKV94" s="195"/>
      <c r="UKW94" s="195"/>
      <c r="UKX94" s="195"/>
      <c r="UKY94" s="195"/>
      <c r="UKZ94" s="195"/>
      <c r="ULA94" s="195"/>
      <c r="ULB94" s="195"/>
      <c r="ULC94" s="195"/>
      <c r="ULD94" s="195"/>
      <c r="ULE94" s="195"/>
      <c r="ULF94" s="195"/>
      <c r="ULG94" s="195"/>
      <c r="ULH94" s="195"/>
      <c r="ULI94" s="195"/>
      <c r="ULJ94" s="195"/>
      <c r="ULK94" s="195"/>
      <c r="ULL94" s="195"/>
      <c r="ULM94" s="195"/>
      <c r="ULN94" s="195"/>
      <c r="ULO94" s="195"/>
      <c r="ULP94" s="195"/>
      <c r="ULQ94" s="195"/>
      <c r="ULR94" s="195"/>
      <c r="ULS94" s="195"/>
      <c r="ULT94" s="195"/>
      <c r="ULU94" s="195"/>
      <c r="ULV94" s="195"/>
      <c r="ULW94" s="195"/>
      <c r="ULX94" s="195"/>
      <c r="ULY94" s="195"/>
      <c r="ULZ94" s="195"/>
      <c r="UMA94" s="195"/>
      <c r="UMB94" s="195"/>
      <c r="UMC94" s="195"/>
      <c r="UMD94" s="195"/>
      <c r="UME94" s="195"/>
      <c r="UMF94" s="195"/>
      <c r="UMG94" s="195"/>
      <c r="UMH94" s="195"/>
      <c r="UMI94" s="195"/>
      <c r="UMJ94" s="195"/>
      <c r="UMK94" s="195"/>
      <c r="UML94" s="195"/>
      <c r="UMM94" s="195"/>
      <c r="UMN94" s="195"/>
      <c r="UMO94" s="195"/>
      <c r="UMP94" s="195"/>
      <c r="UMQ94" s="195"/>
      <c r="UMR94" s="195"/>
      <c r="UMS94" s="195"/>
      <c r="UMT94" s="195"/>
      <c r="UMU94" s="195"/>
      <c r="UMV94" s="195"/>
      <c r="UMW94" s="195"/>
      <c r="UMX94" s="195"/>
      <c r="UMY94" s="195"/>
      <c r="UMZ94" s="195"/>
      <c r="UNA94" s="195"/>
      <c r="UNB94" s="195"/>
      <c r="UNC94" s="195"/>
      <c r="UND94" s="195"/>
      <c r="UNE94" s="195"/>
      <c r="UNF94" s="195"/>
      <c r="UNG94" s="195"/>
      <c r="UNH94" s="195"/>
      <c r="UNI94" s="195"/>
      <c r="UNJ94" s="195"/>
      <c r="UNK94" s="195"/>
      <c r="UNL94" s="195"/>
      <c r="UNM94" s="195"/>
      <c r="UNN94" s="195"/>
      <c r="UNO94" s="195"/>
      <c r="UNP94" s="195"/>
      <c r="UNQ94" s="195"/>
      <c r="UNR94" s="195"/>
      <c r="UNS94" s="195"/>
      <c r="UNT94" s="195"/>
      <c r="UNU94" s="195"/>
      <c r="UNV94" s="195"/>
      <c r="UNW94" s="195"/>
      <c r="UNX94" s="195"/>
      <c r="UNY94" s="195"/>
      <c r="UNZ94" s="195"/>
      <c r="UOA94" s="195"/>
      <c r="UOB94" s="195"/>
      <c r="UOC94" s="195"/>
      <c r="UOD94" s="195"/>
      <c r="UOE94" s="195"/>
      <c r="UOF94" s="195"/>
      <c r="UOG94" s="195"/>
      <c r="UOH94" s="195"/>
      <c r="UOI94" s="195"/>
      <c r="UOJ94" s="195"/>
      <c r="UOK94" s="195"/>
      <c r="UOL94" s="195"/>
      <c r="UOM94" s="195"/>
      <c r="UON94" s="195"/>
      <c r="UOO94" s="195"/>
      <c r="UOP94" s="195"/>
      <c r="UOQ94" s="195"/>
      <c r="UOR94" s="195"/>
      <c r="UOS94" s="195"/>
      <c r="UOT94" s="195"/>
      <c r="UOU94" s="195"/>
      <c r="UOV94" s="195"/>
      <c r="UOW94" s="195"/>
      <c r="UOX94" s="195"/>
      <c r="UOY94" s="195"/>
      <c r="UOZ94" s="195"/>
      <c r="UPA94" s="195"/>
      <c r="UPB94" s="195"/>
      <c r="UPC94" s="195"/>
      <c r="UPD94" s="195"/>
      <c r="UPE94" s="195"/>
      <c r="UPF94" s="195"/>
      <c r="UPG94" s="195"/>
      <c r="UPH94" s="195"/>
      <c r="UPI94" s="195"/>
      <c r="UPJ94" s="195"/>
      <c r="UPK94" s="195"/>
      <c r="UPL94" s="195"/>
      <c r="UPM94" s="195"/>
      <c r="UPN94" s="195"/>
      <c r="UPO94" s="195"/>
      <c r="UPP94" s="195"/>
      <c r="UPQ94" s="195"/>
      <c r="UPR94" s="195"/>
      <c r="UPS94" s="195"/>
      <c r="UPT94" s="195"/>
      <c r="UPU94" s="195"/>
      <c r="UPV94" s="195"/>
      <c r="UPW94" s="195"/>
      <c r="UPX94" s="195"/>
      <c r="UPY94" s="195"/>
      <c r="UPZ94" s="195"/>
      <c r="UQA94" s="195"/>
      <c r="UQB94" s="195"/>
      <c r="UQC94" s="195"/>
      <c r="UQD94" s="195"/>
      <c r="UQE94" s="195"/>
      <c r="UQF94" s="195"/>
      <c r="UQG94" s="195"/>
      <c r="UQH94" s="195"/>
      <c r="UQI94" s="195"/>
      <c r="UQJ94" s="195"/>
      <c r="UQK94" s="195"/>
      <c r="UQL94" s="195"/>
      <c r="UQM94" s="195"/>
      <c r="UQN94" s="195"/>
      <c r="UQO94" s="195"/>
      <c r="UQP94" s="195"/>
      <c r="UQQ94" s="195"/>
      <c r="UQR94" s="195"/>
      <c r="UQS94" s="195"/>
      <c r="UQT94" s="195"/>
      <c r="UQU94" s="195"/>
      <c r="UQV94" s="195"/>
      <c r="UQW94" s="195"/>
      <c r="UQX94" s="195"/>
      <c r="UQY94" s="195"/>
      <c r="UQZ94" s="195"/>
      <c r="URA94" s="195"/>
      <c r="URB94" s="195"/>
      <c r="URC94" s="195"/>
      <c r="URD94" s="195"/>
      <c r="URE94" s="195"/>
      <c r="URF94" s="195"/>
      <c r="URG94" s="195"/>
      <c r="URH94" s="195"/>
      <c r="URI94" s="195"/>
      <c r="URJ94" s="195"/>
      <c r="URK94" s="195"/>
      <c r="URL94" s="195"/>
      <c r="URM94" s="195"/>
      <c r="URN94" s="195"/>
      <c r="URO94" s="195"/>
      <c r="URP94" s="195"/>
      <c r="URQ94" s="195"/>
      <c r="URR94" s="195"/>
      <c r="URS94" s="195"/>
      <c r="URT94" s="195"/>
      <c r="URU94" s="195"/>
      <c r="URV94" s="195"/>
      <c r="URW94" s="195"/>
      <c r="URX94" s="195"/>
      <c r="URY94" s="195"/>
      <c r="URZ94" s="195"/>
      <c r="USA94" s="195"/>
      <c r="USB94" s="195"/>
      <c r="USC94" s="195"/>
      <c r="USD94" s="195"/>
      <c r="USE94" s="195"/>
      <c r="USF94" s="195"/>
      <c r="USG94" s="195"/>
      <c r="USH94" s="195"/>
      <c r="USI94" s="195"/>
      <c r="USJ94" s="195"/>
      <c r="USK94" s="195"/>
      <c r="USL94" s="195"/>
      <c r="USM94" s="195"/>
      <c r="USN94" s="195"/>
      <c r="USO94" s="195"/>
      <c r="USP94" s="195"/>
      <c r="USQ94" s="195"/>
      <c r="USR94" s="195"/>
      <c r="USS94" s="195"/>
      <c r="UST94" s="195"/>
      <c r="USU94" s="195"/>
      <c r="USV94" s="195"/>
      <c r="USW94" s="195"/>
      <c r="USX94" s="195"/>
      <c r="USY94" s="195"/>
      <c r="USZ94" s="195"/>
      <c r="UTA94" s="195"/>
      <c r="UTB94" s="195"/>
      <c r="UTC94" s="195"/>
      <c r="UTD94" s="195"/>
      <c r="UTE94" s="195"/>
      <c r="UTF94" s="195"/>
      <c r="UTG94" s="195"/>
      <c r="UTH94" s="195"/>
      <c r="UTI94" s="195"/>
      <c r="UTJ94" s="195"/>
      <c r="UTK94" s="195"/>
      <c r="UTL94" s="195"/>
      <c r="UTM94" s="195"/>
      <c r="UTN94" s="195"/>
      <c r="UTO94" s="195"/>
      <c r="UTP94" s="195"/>
      <c r="UTQ94" s="195"/>
      <c r="UTR94" s="195"/>
      <c r="UTS94" s="195"/>
      <c r="UTT94" s="195"/>
      <c r="UTU94" s="195"/>
      <c r="UTV94" s="195"/>
      <c r="UTW94" s="195"/>
      <c r="UTX94" s="195"/>
      <c r="UTY94" s="195"/>
      <c r="UTZ94" s="195"/>
      <c r="UUA94" s="195"/>
      <c r="UUB94" s="195"/>
      <c r="UUC94" s="195"/>
      <c r="UUD94" s="195"/>
      <c r="UUE94" s="195"/>
      <c r="UUF94" s="195"/>
      <c r="UUG94" s="195"/>
      <c r="UUH94" s="195"/>
      <c r="UUI94" s="195"/>
      <c r="UUJ94" s="195"/>
      <c r="UUK94" s="195"/>
      <c r="UUL94" s="195"/>
      <c r="UUM94" s="195"/>
      <c r="UUN94" s="195"/>
      <c r="UUO94" s="195"/>
      <c r="UUP94" s="195"/>
      <c r="UUQ94" s="195"/>
      <c r="UUR94" s="195"/>
      <c r="UUS94" s="195"/>
      <c r="UUT94" s="195"/>
      <c r="UUU94" s="195"/>
      <c r="UUV94" s="195"/>
      <c r="UUW94" s="195"/>
      <c r="UUX94" s="195"/>
      <c r="UUY94" s="195"/>
      <c r="UUZ94" s="195"/>
      <c r="UVA94" s="195"/>
      <c r="UVB94" s="195"/>
      <c r="UVC94" s="195"/>
      <c r="UVD94" s="195"/>
      <c r="UVE94" s="195"/>
      <c r="UVF94" s="195"/>
      <c r="UVG94" s="195"/>
      <c r="UVH94" s="195"/>
      <c r="UVI94" s="195"/>
      <c r="UVJ94" s="195"/>
      <c r="UVK94" s="195"/>
      <c r="UVL94" s="195"/>
      <c r="UVM94" s="195"/>
      <c r="UVN94" s="195"/>
      <c r="UVO94" s="195"/>
      <c r="UVP94" s="195"/>
      <c r="UVQ94" s="195"/>
      <c r="UVR94" s="195"/>
      <c r="UVS94" s="195"/>
      <c r="UVT94" s="195"/>
      <c r="UVU94" s="195"/>
      <c r="UVV94" s="195"/>
      <c r="UVW94" s="195"/>
      <c r="UVX94" s="195"/>
      <c r="UVY94" s="195"/>
      <c r="UVZ94" s="195"/>
      <c r="UWA94" s="195"/>
      <c r="UWB94" s="195"/>
      <c r="UWC94" s="195"/>
      <c r="UWD94" s="195"/>
      <c r="UWE94" s="195"/>
      <c r="UWF94" s="195"/>
      <c r="UWG94" s="195"/>
      <c r="UWH94" s="195"/>
      <c r="UWI94" s="195"/>
      <c r="UWJ94" s="195"/>
      <c r="UWK94" s="195"/>
      <c r="UWL94" s="195"/>
      <c r="UWM94" s="195"/>
      <c r="UWN94" s="195"/>
      <c r="UWO94" s="195"/>
      <c r="UWP94" s="195"/>
      <c r="UWQ94" s="195"/>
      <c r="UWR94" s="195"/>
      <c r="UWS94" s="195"/>
      <c r="UWT94" s="195"/>
      <c r="UWU94" s="195"/>
      <c r="UWV94" s="195"/>
      <c r="UWW94" s="195"/>
      <c r="UWX94" s="195"/>
      <c r="UWY94" s="195"/>
      <c r="UWZ94" s="195"/>
      <c r="UXA94" s="195"/>
      <c r="UXB94" s="195"/>
      <c r="UXC94" s="195"/>
      <c r="UXD94" s="195"/>
      <c r="UXE94" s="195"/>
      <c r="UXF94" s="195"/>
      <c r="UXG94" s="195"/>
      <c r="UXH94" s="195"/>
      <c r="UXI94" s="195"/>
      <c r="UXJ94" s="195"/>
      <c r="UXK94" s="195"/>
      <c r="UXL94" s="195"/>
      <c r="UXM94" s="195"/>
      <c r="UXN94" s="195"/>
      <c r="UXO94" s="195"/>
      <c r="UXP94" s="195"/>
      <c r="UXQ94" s="195"/>
      <c r="UXR94" s="195"/>
      <c r="UXS94" s="195"/>
      <c r="UXT94" s="195"/>
      <c r="UXU94" s="195"/>
      <c r="UXV94" s="195"/>
      <c r="UXW94" s="195"/>
      <c r="UXX94" s="195"/>
      <c r="UXY94" s="195"/>
      <c r="UXZ94" s="195"/>
      <c r="UYA94" s="195"/>
      <c r="UYB94" s="195"/>
      <c r="UYC94" s="195"/>
      <c r="UYD94" s="195"/>
      <c r="UYE94" s="195"/>
      <c r="UYF94" s="195"/>
      <c r="UYG94" s="195"/>
      <c r="UYH94" s="195"/>
      <c r="UYI94" s="195"/>
      <c r="UYJ94" s="195"/>
      <c r="UYK94" s="195"/>
      <c r="UYL94" s="195"/>
      <c r="UYM94" s="195"/>
      <c r="UYN94" s="195"/>
      <c r="UYO94" s="195"/>
      <c r="UYP94" s="195"/>
      <c r="UYQ94" s="195"/>
      <c r="UYR94" s="195"/>
      <c r="UYS94" s="195"/>
      <c r="UYT94" s="195"/>
      <c r="UYU94" s="195"/>
      <c r="UYV94" s="195"/>
      <c r="UYW94" s="195"/>
      <c r="UYX94" s="195"/>
      <c r="UYY94" s="195"/>
      <c r="UYZ94" s="195"/>
      <c r="UZA94" s="195"/>
      <c r="UZB94" s="195"/>
      <c r="UZC94" s="195"/>
      <c r="UZD94" s="195"/>
      <c r="UZE94" s="195"/>
      <c r="UZF94" s="195"/>
      <c r="UZG94" s="195"/>
      <c r="UZH94" s="195"/>
      <c r="UZI94" s="195"/>
      <c r="UZJ94" s="195"/>
      <c r="UZK94" s="195"/>
      <c r="UZL94" s="195"/>
      <c r="UZM94" s="195"/>
      <c r="UZN94" s="195"/>
      <c r="UZO94" s="195"/>
      <c r="UZP94" s="195"/>
      <c r="UZQ94" s="195"/>
      <c r="UZR94" s="195"/>
      <c r="UZS94" s="195"/>
      <c r="UZT94" s="195"/>
      <c r="UZU94" s="195"/>
      <c r="UZV94" s="195"/>
      <c r="UZW94" s="195"/>
      <c r="UZX94" s="195"/>
      <c r="UZY94" s="195"/>
      <c r="UZZ94" s="195"/>
      <c r="VAA94" s="195"/>
      <c r="VAB94" s="195"/>
      <c r="VAC94" s="195"/>
      <c r="VAD94" s="195"/>
      <c r="VAE94" s="195"/>
      <c r="VAF94" s="195"/>
      <c r="VAG94" s="195"/>
      <c r="VAH94" s="195"/>
      <c r="VAI94" s="195"/>
      <c r="VAJ94" s="195"/>
      <c r="VAK94" s="195"/>
      <c r="VAL94" s="195"/>
      <c r="VAM94" s="195"/>
      <c r="VAN94" s="195"/>
      <c r="VAO94" s="195"/>
      <c r="VAP94" s="195"/>
      <c r="VAQ94" s="195"/>
      <c r="VAR94" s="195"/>
      <c r="VAS94" s="195"/>
      <c r="VAT94" s="195"/>
      <c r="VAU94" s="195"/>
      <c r="VAV94" s="195"/>
      <c r="VAW94" s="195"/>
      <c r="VAX94" s="195"/>
      <c r="VAY94" s="195"/>
      <c r="VAZ94" s="195"/>
      <c r="VBA94" s="195"/>
      <c r="VBB94" s="195"/>
      <c r="VBC94" s="195"/>
      <c r="VBD94" s="195"/>
      <c r="VBE94" s="195"/>
      <c r="VBF94" s="195"/>
      <c r="VBG94" s="195"/>
      <c r="VBH94" s="195"/>
      <c r="VBI94" s="195"/>
      <c r="VBJ94" s="195"/>
      <c r="VBK94" s="195"/>
      <c r="VBL94" s="195"/>
      <c r="VBM94" s="195"/>
      <c r="VBN94" s="195"/>
      <c r="VBO94" s="195"/>
      <c r="VBP94" s="195"/>
      <c r="VBQ94" s="195"/>
      <c r="VBR94" s="195"/>
      <c r="VBS94" s="195"/>
      <c r="VBT94" s="195"/>
      <c r="VBU94" s="195"/>
      <c r="VBV94" s="195"/>
      <c r="VBW94" s="195"/>
      <c r="VBX94" s="195"/>
      <c r="VBY94" s="195"/>
      <c r="VBZ94" s="195"/>
      <c r="VCA94" s="195"/>
      <c r="VCB94" s="195"/>
      <c r="VCC94" s="195"/>
      <c r="VCD94" s="195"/>
      <c r="VCE94" s="195"/>
      <c r="VCF94" s="195"/>
      <c r="VCG94" s="195"/>
      <c r="VCH94" s="195"/>
      <c r="VCI94" s="195"/>
      <c r="VCJ94" s="195"/>
      <c r="VCK94" s="195"/>
      <c r="VCL94" s="195"/>
      <c r="VCM94" s="195"/>
      <c r="VCN94" s="195"/>
      <c r="VCO94" s="195"/>
      <c r="VCP94" s="195"/>
      <c r="VCQ94" s="195"/>
      <c r="VCR94" s="195"/>
      <c r="VCS94" s="195"/>
      <c r="VCT94" s="195"/>
      <c r="VCU94" s="195"/>
      <c r="VCV94" s="195"/>
      <c r="VCW94" s="195"/>
      <c r="VCX94" s="195"/>
      <c r="VCY94" s="195"/>
      <c r="VCZ94" s="195"/>
      <c r="VDA94" s="195"/>
      <c r="VDB94" s="195"/>
      <c r="VDC94" s="195"/>
      <c r="VDD94" s="195"/>
      <c r="VDE94" s="195"/>
      <c r="VDF94" s="195"/>
      <c r="VDG94" s="195"/>
      <c r="VDH94" s="195"/>
      <c r="VDI94" s="195"/>
      <c r="VDJ94" s="195"/>
      <c r="VDK94" s="195"/>
      <c r="VDL94" s="195"/>
      <c r="VDM94" s="195"/>
      <c r="VDN94" s="195"/>
      <c r="VDO94" s="195"/>
      <c r="VDP94" s="195"/>
      <c r="VDQ94" s="195"/>
      <c r="VDR94" s="195"/>
      <c r="VDS94" s="195"/>
      <c r="VDT94" s="195"/>
      <c r="VDU94" s="195"/>
      <c r="VDV94" s="195"/>
      <c r="VDW94" s="195"/>
      <c r="VDX94" s="195"/>
      <c r="VDY94" s="195"/>
      <c r="VDZ94" s="195"/>
      <c r="VEA94" s="195"/>
      <c r="VEB94" s="195"/>
      <c r="VEC94" s="195"/>
      <c r="VED94" s="195"/>
      <c r="VEE94" s="195"/>
      <c r="VEF94" s="195"/>
      <c r="VEG94" s="195"/>
      <c r="VEH94" s="195"/>
      <c r="VEI94" s="195"/>
      <c r="VEJ94" s="195"/>
      <c r="VEK94" s="195"/>
      <c r="VEL94" s="195"/>
      <c r="VEM94" s="195"/>
      <c r="VEN94" s="195"/>
      <c r="VEO94" s="195"/>
      <c r="VEP94" s="195"/>
      <c r="VEQ94" s="195"/>
      <c r="VER94" s="195"/>
      <c r="VES94" s="195"/>
      <c r="VET94" s="195"/>
      <c r="VEU94" s="195"/>
      <c r="VEV94" s="195"/>
      <c r="VEW94" s="195"/>
      <c r="VEX94" s="195"/>
      <c r="VEY94" s="195"/>
      <c r="VEZ94" s="195"/>
      <c r="VFA94" s="195"/>
      <c r="VFB94" s="195"/>
      <c r="VFC94" s="195"/>
      <c r="VFD94" s="195"/>
      <c r="VFE94" s="195"/>
      <c r="VFF94" s="195"/>
      <c r="VFG94" s="195"/>
      <c r="VFH94" s="195"/>
      <c r="VFI94" s="195"/>
      <c r="VFJ94" s="195"/>
      <c r="VFK94" s="195"/>
      <c r="VFL94" s="195"/>
      <c r="VFM94" s="195"/>
      <c r="VFN94" s="195"/>
      <c r="VFO94" s="195"/>
      <c r="VFP94" s="195"/>
      <c r="VFQ94" s="195"/>
      <c r="VFR94" s="195"/>
      <c r="VFS94" s="195"/>
      <c r="VFT94" s="195"/>
      <c r="VFU94" s="195"/>
      <c r="VFV94" s="195"/>
      <c r="VFW94" s="195"/>
      <c r="VFX94" s="195"/>
      <c r="VFY94" s="195"/>
      <c r="VFZ94" s="195"/>
      <c r="VGA94" s="195"/>
      <c r="VGB94" s="195"/>
      <c r="VGC94" s="195"/>
      <c r="VGD94" s="195"/>
      <c r="VGE94" s="195"/>
      <c r="VGF94" s="195"/>
      <c r="VGG94" s="195"/>
      <c r="VGH94" s="195"/>
      <c r="VGI94" s="195"/>
      <c r="VGJ94" s="195"/>
      <c r="VGK94" s="195"/>
      <c r="VGL94" s="195"/>
      <c r="VGM94" s="195"/>
      <c r="VGN94" s="195"/>
      <c r="VGO94" s="195"/>
      <c r="VGP94" s="195"/>
      <c r="VGQ94" s="195"/>
      <c r="VGR94" s="195"/>
      <c r="VGS94" s="195"/>
      <c r="VGT94" s="195"/>
      <c r="VGU94" s="195"/>
      <c r="VGV94" s="195"/>
      <c r="VGW94" s="195"/>
      <c r="VGX94" s="195"/>
      <c r="VGY94" s="195"/>
      <c r="VGZ94" s="195"/>
      <c r="VHA94" s="195"/>
      <c r="VHB94" s="195"/>
      <c r="VHC94" s="195"/>
      <c r="VHD94" s="195"/>
      <c r="VHE94" s="195"/>
      <c r="VHF94" s="195"/>
      <c r="VHG94" s="195"/>
      <c r="VHH94" s="195"/>
      <c r="VHI94" s="195"/>
      <c r="VHJ94" s="195"/>
      <c r="VHK94" s="195"/>
      <c r="VHL94" s="195"/>
      <c r="VHM94" s="195"/>
      <c r="VHN94" s="195"/>
      <c r="VHO94" s="195"/>
      <c r="VHP94" s="195"/>
      <c r="VHQ94" s="195"/>
      <c r="VHR94" s="195"/>
      <c r="VHS94" s="195"/>
      <c r="VHT94" s="195"/>
      <c r="VHU94" s="195"/>
      <c r="VHV94" s="195"/>
      <c r="VHW94" s="195"/>
      <c r="VHX94" s="195"/>
      <c r="VHY94" s="195"/>
      <c r="VHZ94" s="195"/>
      <c r="VIA94" s="195"/>
      <c r="VIB94" s="195"/>
      <c r="VIC94" s="195"/>
      <c r="VID94" s="195"/>
      <c r="VIE94" s="195"/>
      <c r="VIF94" s="195"/>
      <c r="VIG94" s="195"/>
      <c r="VIH94" s="195"/>
      <c r="VII94" s="195"/>
      <c r="VIJ94" s="195"/>
      <c r="VIK94" s="195"/>
      <c r="VIL94" s="195"/>
      <c r="VIM94" s="195"/>
      <c r="VIN94" s="195"/>
      <c r="VIO94" s="195"/>
      <c r="VIP94" s="195"/>
      <c r="VIQ94" s="195"/>
      <c r="VIR94" s="195"/>
      <c r="VIS94" s="195"/>
      <c r="VIT94" s="195"/>
      <c r="VIU94" s="195"/>
      <c r="VIV94" s="195"/>
      <c r="VIW94" s="195"/>
      <c r="VIX94" s="195"/>
      <c r="VIY94" s="195"/>
      <c r="VIZ94" s="195"/>
      <c r="VJA94" s="195"/>
      <c r="VJB94" s="195"/>
      <c r="VJC94" s="195"/>
      <c r="VJD94" s="195"/>
      <c r="VJE94" s="195"/>
      <c r="VJF94" s="195"/>
      <c r="VJG94" s="195"/>
      <c r="VJH94" s="195"/>
      <c r="VJI94" s="195"/>
      <c r="VJJ94" s="195"/>
      <c r="VJK94" s="195"/>
      <c r="VJL94" s="195"/>
      <c r="VJM94" s="195"/>
      <c r="VJN94" s="195"/>
      <c r="VJO94" s="195"/>
      <c r="VJP94" s="195"/>
      <c r="VJQ94" s="195"/>
      <c r="VJR94" s="195"/>
      <c r="VJS94" s="195"/>
      <c r="VJT94" s="195"/>
      <c r="VJU94" s="195"/>
      <c r="VJV94" s="195"/>
      <c r="VJW94" s="195"/>
      <c r="VJX94" s="195"/>
      <c r="VJY94" s="195"/>
      <c r="VJZ94" s="195"/>
      <c r="VKA94" s="195"/>
      <c r="VKB94" s="195"/>
      <c r="VKC94" s="195"/>
      <c r="VKD94" s="195"/>
      <c r="VKE94" s="195"/>
      <c r="VKF94" s="195"/>
      <c r="VKG94" s="195"/>
      <c r="VKH94" s="195"/>
      <c r="VKI94" s="195"/>
      <c r="VKJ94" s="195"/>
      <c r="VKK94" s="195"/>
      <c r="VKL94" s="195"/>
      <c r="VKM94" s="195"/>
      <c r="VKN94" s="195"/>
      <c r="VKO94" s="195"/>
      <c r="VKP94" s="195"/>
      <c r="VKQ94" s="195"/>
      <c r="VKR94" s="195"/>
      <c r="VKS94" s="195"/>
      <c r="VKT94" s="195"/>
      <c r="VKU94" s="195"/>
      <c r="VKV94" s="195"/>
      <c r="VKW94" s="195"/>
      <c r="VKX94" s="195"/>
      <c r="VKY94" s="195"/>
      <c r="VKZ94" s="195"/>
      <c r="VLA94" s="195"/>
      <c r="VLB94" s="195"/>
      <c r="VLC94" s="195"/>
      <c r="VLD94" s="195"/>
      <c r="VLE94" s="195"/>
      <c r="VLF94" s="195"/>
      <c r="VLG94" s="195"/>
      <c r="VLH94" s="195"/>
      <c r="VLI94" s="195"/>
      <c r="VLJ94" s="195"/>
      <c r="VLK94" s="195"/>
      <c r="VLL94" s="195"/>
      <c r="VLM94" s="195"/>
      <c r="VLN94" s="195"/>
      <c r="VLO94" s="195"/>
      <c r="VLP94" s="195"/>
      <c r="VLQ94" s="195"/>
      <c r="VLR94" s="195"/>
      <c r="VLS94" s="195"/>
      <c r="VLT94" s="195"/>
      <c r="VLU94" s="195"/>
      <c r="VLV94" s="195"/>
      <c r="VLW94" s="195"/>
      <c r="VLX94" s="195"/>
      <c r="VLY94" s="195"/>
      <c r="VLZ94" s="195"/>
      <c r="VMA94" s="195"/>
      <c r="VMB94" s="195"/>
      <c r="VMC94" s="195"/>
      <c r="VMD94" s="195"/>
      <c r="VME94" s="195"/>
      <c r="VMF94" s="195"/>
      <c r="VMG94" s="195"/>
      <c r="VMH94" s="195"/>
      <c r="VMI94" s="195"/>
      <c r="VMJ94" s="195"/>
      <c r="VMK94" s="195"/>
      <c r="VML94" s="195"/>
      <c r="VMM94" s="195"/>
      <c r="VMN94" s="195"/>
      <c r="VMO94" s="195"/>
      <c r="VMP94" s="195"/>
      <c r="VMQ94" s="195"/>
      <c r="VMR94" s="195"/>
      <c r="VMS94" s="195"/>
      <c r="VMT94" s="195"/>
      <c r="VMU94" s="195"/>
      <c r="VMV94" s="195"/>
      <c r="VMW94" s="195"/>
      <c r="VMX94" s="195"/>
      <c r="VMY94" s="195"/>
      <c r="VMZ94" s="195"/>
      <c r="VNA94" s="195"/>
      <c r="VNB94" s="195"/>
      <c r="VNC94" s="195"/>
      <c r="VND94" s="195"/>
      <c r="VNE94" s="195"/>
      <c r="VNF94" s="195"/>
      <c r="VNG94" s="195"/>
      <c r="VNH94" s="195"/>
      <c r="VNI94" s="195"/>
      <c r="VNJ94" s="195"/>
      <c r="VNK94" s="195"/>
      <c r="VNL94" s="195"/>
      <c r="VNM94" s="195"/>
      <c r="VNN94" s="195"/>
      <c r="VNO94" s="195"/>
      <c r="VNP94" s="195"/>
      <c r="VNQ94" s="195"/>
      <c r="VNR94" s="195"/>
      <c r="VNS94" s="195"/>
      <c r="VNT94" s="195"/>
      <c r="VNU94" s="195"/>
      <c r="VNV94" s="195"/>
      <c r="VNW94" s="195"/>
      <c r="VNX94" s="195"/>
      <c r="VNY94" s="195"/>
      <c r="VNZ94" s="195"/>
      <c r="VOA94" s="195"/>
      <c r="VOB94" s="195"/>
      <c r="VOC94" s="195"/>
      <c r="VOD94" s="195"/>
      <c r="VOE94" s="195"/>
      <c r="VOF94" s="195"/>
      <c r="VOG94" s="195"/>
      <c r="VOH94" s="195"/>
      <c r="VOI94" s="195"/>
      <c r="VOJ94" s="195"/>
      <c r="VOK94" s="195"/>
      <c r="VOL94" s="195"/>
      <c r="VOM94" s="195"/>
      <c r="VON94" s="195"/>
      <c r="VOO94" s="195"/>
      <c r="VOP94" s="195"/>
      <c r="VOQ94" s="195"/>
      <c r="VOR94" s="195"/>
      <c r="VOS94" s="195"/>
      <c r="VOT94" s="195"/>
      <c r="VOU94" s="195"/>
      <c r="VOV94" s="195"/>
      <c r="VOW94" s="195"/>
      <c r="VOX94" s="195"/>
      <c r="VOY94" s="195"/>
      <c r="VOZ94" s="195"/>
      <c r="VPA94" s="195"/>
      <c r="VPB94" s="195"/>
      <c r="VPC94" s="195"/>
      <c r="VPD94" s="195"/>
      <c r="VPE94" s="195"/>
      <c r="VPF94" s="195"/>
      <c r="VPG94" s="195"/>
      <c r="VPH94" s="195"/>
      <c r="VPI94" s="195"/>
      <c r="VPJ94" s="195"/>
      <c r="VPK94" s="195"/>
      <c r="VPL94" s="195"/>
      <c r="VPM94" s="195"/>
      <c r="VPN94" s="195"/>
      <c r="VPO94" s="195"/>
      <c r="VPP94" s="195"/>
      <c r="VPQ94" s="195"/>
      <c r="VPR94" s="195"/>
      <c r="VPS94" s="195"/>
      <c r="VPT94" s="195"/>
      <c r="VPU94" s="195"/>
      <c r="VPV94" s="195"/>
      <c r="VPW94" s="195"/>
      <c r="VPX94" s="195"/>
      <c r="VPY94" s="195"/>
      <c r="VPZ94" s="195"/>
      <c r="VQA94" s="195"/>
      <c r="VQB94" s="195"/>
      <c r="VQC94" s="195"/>
      <c r="VQD94" s="195"/>
      <c r="VQE94" s="195"/>
      <c r="VQF94" s="195"/>
      <c r="VQG94" s="195"/>
      <c r="VQH94" s="195"/>
      <c r="VQI94" s="195"/>
      <c r="VQJ94" s="195"/>
      <c r="VQK94" s="195"/>
      <c r="VQL94" s="195"/>
      <c r="VQM94" s="195"/>
      <c r="VQN94" s="195"/>
      <c r="VQO94" s="195"/>
      <c r="VQP94" s="195"/>
      <c r="VQQ94" s="195"/>
      <c r="VQR94" s="195"/>
      <c r="VQS94" s="195"/>
      <c r="VQT94" s="195"/>
      <c r="VQU94" s="195"/>
      <c r="VQV94" s="195"/>
      <c r="VQW94" s="195"/>
      <c r="VQX94" s="195"/>
      <c r="VQY94" s="195"/>
      <c r="VQZ94" s="195"/>
      <c r="VRA94" s="195"/>
      <c r="VRB94" s="195"/>
      <c r="VRC94" s="195"/>
      <c r="VRD94" s="195"/>
      <c r="VRE94" s="195"/>
      <c r="VRF94" s="195"/>
      <c r="VRG94" s="195"/>
      <c r="VRH94" s="195"/>
      <c r="VRI94" s="195"/>
      <c r="VRJ94" s="195"/>
      <c r="VRK94" s="195"/>
      <c r="VRL94" s="195"/>
      <c r="VRM94" s="195"/>
      <c r="VRN94" s="195"/>
      <c r="VRO94" s="195"/>
      <c r="VRP94" s="195"/>
      <c r="VRQ94" s="195"/>
      <c r="VRR94" s="195"/>
      <c r="VRS94" s="195"/>
      <c r="VRT94" s="195"/>
      <c r="VRU94" s="195"/>
      <c r="VRV94" s="195"/>
      <c r="VRW94" s="195"/>
      <c r="VRX94" s="195"/>
      <c r="VRY94" s="195"/>
      <c r="VRZ94" s="195"/>
      <c r="VSA94" s="195"/>
      <c r="VSB94" s="195"/>
      <c r="VSC94" s="195"/>
      <c r="VSD94" s="195"/>
      <c r="VSE94" s="195"/>
      <c r="VSF94" s="195"/>
      <c r="VSG94" s="195"/>
      <c r="VSH94" s="195"/>
      <c r="VSI94" s="195"/>
      <c r="VSJ94" s="195"/>
      <c r="VSK94" s="195"/>
      <c r="VSL94" s="195"/>
      <c r="VSM94" s="195"/>
      <c r="VSN94" s="195"/>
      <c r="VSO94" s="195"/>
      <c r="VSP94" s="195"/>
      <c r="VSQ94" s="195"/>
      <c r="VSR94" s="195"/>
      <c r="VSS94" s="195"/>
      <c r="VST94" s="195"/>
      <c r="VSU94" s="195"/>
      <c r="VSV94" s="195"/>
      <c r="VSW94" s="195"/>
      <c r="VSX94" s="195"/>
      <c r="VSY94" s="195"/>
      <c r="VSZ94" s="195"/>
      <c r="VTA94" s="195"/>
      <c r="VTB94" s="195"/>
      <c r="VTC94" s="195"/>
      <c r="VTD94" s="195"/>
      <c r="VTE94" s="195"/>
      <c r="VTF94" s="195"/>
      <c r="VTG94" s="195"/>
      <c r="VTH94" s="195"/>
      <c r="VTI94" s="195"/>
      <c r="VTJ94" s="195"/>
      <c r="VTK94" s="195"/>
      <c r="VTL94" s="195"/>
      <c r="VTM94" s="195"/>
      <c r="VTN94" s="195"/>
      <c r="VTO94" s="195"/>
      <c r="VTP94" s="195"/>
      <c r="VTQ94" s="195"/>
      <c r="VTR94" s="195"/>
      <c r="VTS94" s="195"/>
      <c r="VTT94" s="195"/>
      <c r="VTU94" s="195"/>
      <c r="VTV94" s="195"/>
      <c r="VTW94" s="195"/>
      <c r="VTX94" s="195"/>
      <c r="VTY94" s="195"/>
      <c r="VTZ94" s="195"/>
      <c r="VUA94" s="195"/>
      <c r="VUB94" s="195"/>
      <c r="VUC94" s="195"/>
      <c r="VUD94" s="195"/>
      <c r="VUE94" s="195"/>
      <c r="VUF94" s="195"/>
      <c r="VUG94" s="195"/>
      <c r="VUH94" s="195"/>
      <c r="VUI94" s="195"/>
      <c r="VUJ94" s="195"/>
      <c r="VUK94" s="195"/>
      <c r="VUL94" s="195"/>
      <c r="VUM94" s="195"/>
      <c r="VUN94" s="195"/>
      <c r="VUO94" s="195"/>
      <c r="VUP94" s="195"/>
      <c r="VUQ94" s="195"/>
      <c r="VUR94" s="195"/>
      <c r="VUS94" s="195"/>
      <c r="VUT94" s="195"/>
      <c r="VUU94" s="195"/>
      <c r="VUV94" s="195"/>
      <c r="VUW94" s="195"/>
      <c r="VUX94" s="195"/>
      <c r="VUY94" s="195"/>
      <c r="VUZ94" s="195"/>
      <c r="VVA94" s="195"/>
      <c r="VVB94" s="195"/>
      <c r="VVC94" s="195"/>
      <c r="VVD94" s="195"/>
      <c r="VVE94" s="195"/>
      <c r="VVF94" s="195"/>
      <c r="VVG94" s="195"/>
      <c r="VVH94" s="195"/>
      <c r="VVI94" s="195"/>
      <c r="VVJ94" s="195"/>
      <c r="VVK94" s="195"/>
      <c r="VVL94" s="195"/>
      <c r="VVM94" s="195"/>
      <c r="VVN94" s="195"/>
      <c r="VVO94" s="195"/>
      <c r="VVP94" s="195"/>
      <c r="VVQ94" s="195"/>
      <c r="VVR94" s="195"/>
      <c r="VVS94" s="195"/>
      <c r="VVT94" s="195"/>
      <c r="VVU94" s="195"/>
      <c r="VVV94" s="195"/>
      <c r="VVW94" s="195"/>
      <c r="VVX94" s="195"/>
      <c r="VVY94" s="195"/>
      <c r="VVZ94" s="195"/>
      <c r="VWA94" s="195"/>
      <c r="VWB94" s="195"/>
      <c r="VWC94" s="195"/>
      <c r="VWD94" s="195"/>
      <c r="VWE94" s="195"/>
      <c r="VWF94" s="195"/>
      <c r="VWG94" s="195"/>
      <c r="VWH94" s="195"/>
      <c r="VWI94" s="195"/>
      <c r="VWJ94" s="195"/>
      <c r="VWK94" s="195"/>
      <c r="VWL94" s="195"/>
      <c r="VWM94" s="195"/>
      <c r="VWN94" s="195"/>
      <c r="VWO94" s="195"/>
      <c r="VWP94" s="195"/>
      <c r="VWQ94" s="195"/>
      <c r="VWR94" s="195"/>
      <c r="VWS94" s="195"/>
      <c r="VWT94" s="195"/>
      <c r="VWU94" s="195"/>
      <c r="VWV94" s="195"/>
      <c r="VWW94" s="195"/>
      <c r="VWX94" s="195"/>
      <c r="VWY94" s="195"/>
      <c r="VWZ94" s="195"/>
      <c r="VXA94" s="195"/>
      <c r="VXB94" s="195"/>
      <c r="VXC94" s="195"/>
      <c r="VXD94" s="195"/>
      <c r="VXE94" s="195"/>
      <c r="VXF94" s="195"/>
      <c r="VXG94" s="195"/>
      <c r="VXH94" s="195"/>
      <c r="VXI94" s="195"/>
      <c r="VXJ94" s="195"/>
      <c r="VXK94" s="195"/>
      <c r="VXL94" s="195"/>
      <c r="VXM94" s="195"/>
      <c r="VXN94" s="195"/>
      <c r="VXO94" s="195"/>
      <c r="VXP94" s="195"/>
      <c r="VXQ94" s="195"/>
      <c r="VXR94" s="195"/>
      <c r="VXS94" s="195"/>
      <c r="VXT94" s="195"/>
      <c r="VXU94" s="195"/>
      <c r="VXV94" s="195"/>
      <c r="VXW94" s="195"/>
      <c r="VXX94" s="195"/>
      <c r="VXY94" s="195"/>
      <c r="VXZ94" s="195"/>
      <c r="VYA94" s="195"/>
      <c r="VYB94" s="195"/>
      <c r="VYC94" s="195"/>
      <c r="VYD94" s="195"/>
      <c r="VYE94" s="195"/>
      <c r="VYF94" s="195"/>
      <c r="VYG94" s="195"/>
      <c r="VYH94" s="195"/>
      <c r="VYI94" s="195"/>
      <c r="VYJ94" s="195"/>
      <c r="VYK94" s="195"/>
      <c r="VYL94" s="195"/>
      <c r="VYM94" s="195"/>
      <c r="VYN94" s="195"/>
      <c r="VYO94" s="195"/>
      <c r="VYP94" s="195"/>
      <c r="VYQ94" s="195"/>
      <c r="VYR94" s="195"/>
      <c r="VYS94" s="195"/>
      <c r="VYT94" s="195"/>
      <c r="VYU94" s="195"/>
      <c r="VYV94" s="195"/>
      <c r="VYW94" s="195"/>
      <c r="VYX94" s="195"/>
      <c r="VYY94" s="195"/>
      <c r="VYZ94" s="195"/>
      <c r="VZA94" s="195"/>
      <c r="VZB94" s="195"/>
      <c r="VZC94" s="195"/>
      <c r="VZD94" s="195"/>
      <c r="VZE94" s="195"/>
      <c r="VZF94" s="195"/>
      <c r="VZG94" s="195"/>
      <c r="VZH94" s="195"/>
      <c r="VZI94" s="195"/>
      <c r="VZJ94" s="195"/>
      <c r="VZK94" s="195"/>
      <c r="VZL94" s="195"/>
      <c r="VZM94" s="195"/>
      <c r="VZN94" s="195"/>
      <c r="VZO94" s="195"/>
      <c r="VZP94" s="195"/>
      <c r="VZQ94" s="195"/>
      <c r="VZR94" s="195"/>
      <c r="VZS94" s="195"/>
      <c r="VZT94" s="195"/>
      <c r="VZU94" s="195"/>
      <c r="VZV94" s="195"/>
      <c r="VZW94" s="195"/>
      <c r="VZX94" s="195"/>
      <c r="VZY94" s="195"/>
      <c r="VZZ94" s="195"/>
      <c r="WAA94" s="195"/>
      <c r="WAB94" s="195"/>
      <c r="WAC94" s="195"/>
      <c r="WAD94" s="195"/>
      <c r="WAE94" s="195"/>
      <c r="WAF94" s="195"/>
      <c r="WAG94" s="195"/>
      <c r="WAH94" s="195"/>
      <c r="WAI94" s="195"/>
      <c r="WAJ94" s="195"/>
      <c r="WAK94" s="195"/>
      <c r="WAL94" s="195"/>
      <c r="WAM94" s="195"/>
      <c r="WAN94" s="195"/>
      <c r="WAO94" s="195"/>
      <c r="WAP94" s="195"/>
      <c r="WAQ94" s="195"/>
      <c r="WAR94" s="195"/>
      <c r="WAS94" s="195"/>
      <c r="WAT94" s="195"/>
      <c r="WAU94" s="195"/>
      <c r="WAV94" s="195"/>
      <c r="WAW94" s="195"/>
      <c r="WAX94" s="195"/>
      <c r="WAY94" s="195"/>
      <c r="WAZ94" s="195"/>
      <c r="WBA94" s="195"/>
      <c r="WBB94" s="195"/>
      <c r="WBC94" s="195"/>
      <c r="WBD94" s="195"/>
      <c r="WBE94" s="195"/>
      <c r="WBF94" s="195"/>
      <c r="WBG94" s="195"/>
      <c r="WBH94" s="195"/>
      <c r="WBI94" s="195"/>
      <c r="WBJ94" s="195"/>
      <c r="WBK94" s="195"/>
      <c r="WBL94" s="195"/>
      <c r="WBM94" s="195"/>
      <c r="WBN94" s="195"/>
      <c r="WBO94" s="195"/>
      <c r="WBP94" s="195"/>
      <c r="WBQ94" s="195"/>
      <c r="WBR94" s="195"/>
      <c r="WBS94" s="195"/>
      <c r="WBT94" s="195"/>
      <c r="WBU94" s="195"/>
      <c r="WBV94" s="195"/>
      <c r="WBW94" s="195"/>
      <c r="WBX94" s="195"/>
      <c r="WBY94" s="195"/>
      <c r="WBZ94" s="195"/>
      <c r="WCA94" s="195"/>
      <c r="WCB94" s="195"/>
      <c r="WCC94" s="195"/>
      <c r="WCD94" s="195"/>
      <c r="WCE94" s="195"/>
      <c r="WCF94" s="195"/>
      <c r="WCG94" s="195"/>
      <c r="WCH94" s="195"/>
      <c r="WCI94" s="195"/>
      <c r="WCJ94" s="195"/>
      <c r="WCK94" s="195"/>
      <c r="WCL94" s="195"/>
      <c r="WCM94" s="195"/>
      <c r="WCN94" s="195"/>
      <c r="WCO94" s="195"/>
      <c r="WCP94" s="195"/>
      <c r="WCQ94" s="195"/>
      <c r="WCR94" s="195"/>
      <c r="WCS94" s="195"/>
      <c r="WCT94" s="195"/>
      <c r="WCU94" s="195"/>
      <c r="WCV94" s="195"/>
      <c r="WCW94" s="195"/>
      <c r="WCX94" s="195"/>
      <c r="WCY94" s="195"/>
      <c r="WCZ94" s="195"/>
      <c r="WDA94" s="195"/>
      <c r="WDB94" s="195"/>
      <c r="WDC94" s="195"/>
      <c r="WDD94" s="195"/>
      <c r="WDE94" s="195"/>
      <c r="WDF94" s="195"/>
      <c r="WDG94" s="195"/>
      <c r="WDH94" s="195"/>
      <c r="WDI94" s="195"/>
      <c r="WDJ94" s="195"/>
      <c r="WDK94" s="195"/>
      <c r="WDL94" s="195"/>
      <c r="WDM94" s="195"/>
      <c r="WDN94" s="195"/>
      <c r="WDO94" s="195"/>
      <c r="WDP94" s="195"/>
      <c r="WDQ94" s="195"/>
      <c r="WDR94" s="195"/>
      <c r="WDS94" s="195"/>
      <c r="WDT94" s="195"/>
      <c r="WDU94" s="195"/>
      <c r="WDV94" s="195"/>
      <c r="WDW94" s="195"/>
      <c r="WDX94" s="195"/>
      <c r="WDY94" s="195"/>
      <c r="WDZ94" s="195"/>
      <c r="WEA94" s="195"/>
      <c r="WEB94" s="195"/>
      <c r="WEC94" s="195"/>
      <c r="WED94" s="195"/>
      <c r="WEE94" s="195"/>
      <c r="WEF94" s="195"/>
      <c r="WEG94" s="195"/>
      <c r="WEH94" s="195"/>
      <c r="WEI94" s="195"/>
      <c r="WEJ94" s="195"/>
      <c r="WEK94" s="195"/>
      <c r="WEL94" s="195"/>
      <c r="WEM94" s="195"/>
      <c r="WEN94" s="195"/>
      <c r="WEO94" s="195"/>
      <c r="WEP94" s="195"/>
      <c r="WEQ94" s="195"/>
      <c r="WER94" s="195"/>
      <c r="WES94" s="195"/>
      <c r="WET94" s="195"/>
      <c r="WEU94" s="195"/>
      <c r="WEV94" s="195"/>
      <c r="WEW94" s="195"/>
      <c r="WEX94" s="195"/>
      <c r="WEY94" s="195"/>
      <c r="WEZ94" s="195"/>
      <c r="WFA94" s="195"/>
      <c r="WFB94" s="195"/>
      <c r="WFC94" s="195"/>
      <c r="WFD94" s="195"/>
      <c r="WFE94" s="195"/>
      <c r="WFF94" s="195"/>
      <c r="WFG94" s="195"/>
      <c r="WFH94" s="195"/>
      <c r="WFI94" s="195"/>
      <c r="WFJ94" s="195"/>
      <c r="WFK94" s="195"/>
      <c r="WFL94" s="195"/>
      <c r="WFM94" s="195"/>
      <c r="WFN94" s="195"/>
      <c r="WFO94" s="195"/>
      <c r="WFP94" s="195"/>
      <c r="WFQ94" s="195"/>
      <c r="WFR94" s="195"/>
      <c r="WFS94" s="195"/>
      <c r="WFT94" s="195"/>
      <c r="WFU94" s="195"/>
      <c r="WFV94" s="195"/>
      <c r="WFW94" s="195"/>
      <c r="WFX94" s="195"/>
      <c r="WFY94" s="195"/>
      <c r="WFZ94" s="195"/>
      <c r="WGA94" s="195"/>
      <c r="WGB94" s="195"/>
      <c r="WGC94" s="195"/>
      <c r="WGD94" s="195"/>
      <c r="WGE94" s="195"/>
      <c r="WGF94" s="195"/>
      <c r="WGG94" s="195"/>
      <c r="WGH94" s="195"/>
      <c r="WGI94" s="195"/>
      <c r="WGJ94" s="195"/>
      <c r="WGK94" s="195"/>
      <c r="WGL94" s="195"/>
      <c r="WGM94" s="195"/>
      <c r="WGN94" s="195"/>
      <c r="WGO94" s="195"/>
      <c r="WGP94" s="195"/>
      <c r="WGQ94" s="195"/>
      <c r="WGR94" s="195"/>
      <c r="WGS94" s="195"/>
      <c r="WGT94" s="195"/>
      <c r="WGU94" s="195"/>
      <c r="WGV94" s="195"/>
      <c r="WGW94" s="195"/>
      <c r="WGX94" s="195"/>
      <c r="WGY94" s="195"/>
      <c r="WGZ94" s="195"/>
      <c r="WHA94" s="195"/>
      <c r="WHB94" s="195"/>
      <c r="WHC94" s="195"/>
      <c r="WHD94" s="195"/>
      <c r="WHE94" s="195"/>
      <c r="WHF94" s="195"/>
      <c r="WHG94" s="195"/>
      <c r="WHH94" s="195"/>
      <c r="WHI94" s="195"/>
      <c r="WHJ94" s="195"/>
      <c r="WHK94" s="195"/>
      <c r="WHL94" s="195"/>
      <c r="WHM94" s="195"/>
      <c r="WHN94" s="195"/>
      <c r="WHO94" s="195"/>
      <c r="WHP94" s="195"/>
      <c r="WHQ94" s="195"/>
      <c r="WHR94" s="195"/>
      <c r="WHS94" s="195"/>
      <c r="WHT94" s="195"/>
      <c r="WHU94" s="195"/>
      <c r="WHV94" s="195"/>
      <c r="WHW94" s="195"/>
      <c r="WHX94" s="195"/>
      <c r="WHY94" s="195"/>
      <c r="WHZ94" s="195"/>
      <c r="WIA94" s="195"/>
      <c r="WIB94" s="195"/>
      <c r="WIC94" s="195"/>
      <c r="WID94" s="195"/>
      <c r="WIE94" s="195"/>
      <c r="WIF94" s="195"/>
      <c r="WIG94" s="195"/>
      <c r="WIH94" s="195"/>
      <c r="WII94" s="195"/>
      <c r="WIJ94" s="195"/>
      <c r="WIK94" s="195"/>
      <c r="WIL94" s="195"/>
      <c r="WIM94" s="195"/>
      <c r="WIN94" s="195"/>
      <c r="WIO94" s="195"/>
      <c r="WIP94" s="195"/>
      <c r="WIQ94" s="195"/>
      <c r="WIR94" s="195"/>
      <c r="WIS94" s="195"/>
      <c r="WIT94" s="195"/>
      <c r="WIU94" s="195"/>
      <c r="WIV94" s="195"/>
      <c r="WIW94" s="195"/>
      <c r="WIX94" s="195"/>
      <c r="WIY94" s="195"/>
      <c r="WIZ94" s="195"/>
      <c r="WJA94" s="195"/>
      <c r="WJB94" s="195"/>
      <c r="WJC94" s="195"/>
      <c r="WJD94" s="195"/>
      <c r="WJE94" s="195"/>
      <c r="WJF94" s="195"/>
      <c r="WJG94" s="195"/>
      <c r="WJH94" s="195"/>
      <c r="WJI94" s="195"/>
      <c r="WJJ94" s="195"/>
      <c r="WJK94" s="195"/>
      <c r="WJL94" s="195"/>
      <c r="WJM94" s="195"/>
      <c r="WJN94" s="195"/>
      <c r="WJO94" s="195"/>
      <c r="WJP94" s="195"/>
      <c r="WJQ94" s="195"/>
      <c r="WJR94" s="195"/>
      <c r="WJS94" s="195"/>
      <c r="WJT94" s="195"/>
      <c r="WJU94" s="195"/>
      <c r="WJV94" s="195"/>
      <c r="WJW94" s="195"/>
      <c r="WJX94" s="195"/>
      <c r="WJY94" s="195"/>
      <c r="WJZ94" s="195"/>
      <c r="WKA94" s="195"/>
      <c r="WKB94" s="195"/>
      <c r="WKC94" s="195"/>
      <c r="WKD94" s="195"/>
      <c r="WKE94" s="195"/>
      <c r="WKF94" s="195"/>
      <c r="WKG94" s="195"/>
      <c r="WKH94" s="195"/>
      <c r="WKI94" s="195"/>
      <c r="WKJ94" s="195"/>
      <c r="WKK94" s="195"/>
      <c r="WKL94" s="195"/>
      <c r="WKM94" s="195"/>
      <c r="WKN94" s="195"/>
      <c r="WKO94" s="195"/>
      <c r="WKP94" s="195"/>
      <c r="WKQ94" s="195"/>
      <c r="WKR94" s="195"/>
      <c r="WKS94" s="195"/>
      <c r="WKT94" s="195"/>
      <c r="WKU94" s="195"/>
      <c r="WKV94" s="195"/>
      <c r="WKW94" s="195"/>
      <c r="WKX94" s="195"/>
      <c r="WKY94" s="195"/>
      <c r="WKZ94" s="195"/>
      <c r="WLA94" s="195"/>
      <c r="WLB94" s="195"/>
      <c r="WLC94" s="195"/>
      <c r="WLD94" s="195"/>
      <c r="WLE94" s="195"/>
      <c r="WLF94" s="195"/>
      <c r="WLG94" s="195"/>
      <c r="WLH94" s="195"/>
      <c r="WLI94" s="195"/>
      <c r="WLJ94" s="195"/>
      <c r="WLK94" s="195"/>
      <c r="WLL94" s="195"/>
      <c r="WLM94" s="195"/>
      <c r="WLN94" s="195"/>
      <c r="WLO94" s="195"/>
      <c r="WLP94" s="195"/>
      <c r="WLQ94" s="195"/>
      <c r="WLR94" s="195"/>
      <c r="WLS94" s="195"/>
      <c r="WLT94" s="195"/>
      <c r="WLU94" s="195"/>
      <c r="WLV94" s="195"/>
      <c r="WLW94" s="195"/>
      <c r="WLX94" s="195"/>
      <c r="WLY94" s="195"/>
      <c r="WLZ94" s="195"/>
      <c r="WMA94" s="195"/>
      <c r="WMB94" s="195"/>
      <c r="WMC94" s="195"/>
      <c r="WMD94" s="195"/>
      <c r="WME94" s="195"/>
      <c r="WMF94" s="195"/>
      <c r="WMG94" s="195"/>
      <c r="WMH94" s="195"/>
      <c r="WMI94" s="195"/>
      <c r="WMJ94" s="195"/>
      <c r="WMK94" s="195"/>
      <c r="WML94" s="195"/>
      <c r="WMM94" s="195"/>
      <c r="WMN94" s="195"/>
      <c r="WMO94" s="195"/>
      <c r="WMP94" s="195"/>
      <c r="WMQ94" s="195"/>
      <c r="WMR94" s="195"/>
      <c r="WMS94" s="195"/>
      <c r="WMT94" s="195"/>
      <c r="WMU94" s="195"/>
      <c r="WMV94" s="195"/>
      <c r="WMW94" s="195"/>
      <c r="WMX94" s="195"/>
      <c r="WMY94" s="195"/>
      <c r="WMZ94" s="195"/>
      <c r="WNA94" s="195"/>
      <c r="WNB94" s="195"/>
      <c r="WNC94" s="195"/>
      <c r="WND94" s="195"/>
      <c r="WNE94" s="195"/>
      <c r="WNF94" s="195"/>
      <c r="WNG94" s="195"/>
      <c r="WNH94" s="195"/>
      <c r="WNI94" s="195"/>
      <c r="WNJ94" s="195"/>
      <c r="WNK94" s="195"/>
      <c r="WNL94" s="195"/>
      <c r="WNM94" s="195"/>
      <c r="WNN94" s="195"/>
      <c r="WNO94" s="195"/>
      <c r="WNP94" s="195"/>
      <c r="WNQ94" s="195"/>
      <c r="WNR94" s="195"/>
      <c r="WNS94" s="195"/>
      <c r="WNT94" s="195"/>
      <c r="WNU94" s="195"/>
      <c r="WNV94" s="195"/>
      <c r="WNW94" s="195"/>
      <c r="WNX94" s="195"/>
      <c r="WNY94" s="195"/>
      <c r="WNZ94" s="195"/>
      <c r="WOA94" s="195"/>
      <c r="WOB94" s="195"/>
      <c r="WOC94" s="195"/>
      <c r="WOD94" s="195"/>
      <c r="WOE94" s="195"/>
      <c r="WOF94" s="195"/>
      <c r="WOG94" s="195"/>
      <c r="WOH94" s="195"/>
      <c r="WOI94" s="195"/>
      <c r="WOJ94" s="195"/>
      <c r="WOK94" s="195"/>
      <c r="WOL94" s="195"/>
      <c r="WOM94" s="195"/>
      <c r="WON94" s="195"/>
      <c r="WOO94" s="195"/>
      <c r="WOP94" s="195"/>
      <c r="WOQ94" s="195"/>
      <c r="WOR94" s="195"/>
      <c r="WOS94" s="195"/>
      <c r="WOT94" s="195"/>
      <c r="WOU94" s="195"/>
      <c r="WOV94" s="195"/>
      <c r="WOW94" s="195"/>
      <c r="WOX94" s="195"/>
      <c r="WOY94" s="195"/>
      <c r="WOZ94" s="195"/>
      <c r="WPA94" s="195"/>
      <c r="WPB94" s="195"/>
      <c r="WPC94" s="195"/>
      <c r="WPD94" s="195"/>
      <c r="WPE94" s="195"/>
      <c r="WPF94" s="195"/>
      <c r="WPG94" s="195"/>
      <c r="WPH94" s="195"/>
      <c r="WPI94" s="195"/>
      <c r="WPJ94" s="195"/>
      <c r="WPK94" s="195"/>
      <c r="WPL94" s="195"/>
      <c r="WPM94" s="195"/>
      <c r="WPN94" s="195"/>
      <c r="WPO94" s="195"/>
      <c r="WPP94" s="195"/>
      <c r="WPQ94" s="195"/>
      <c r="WPR94" s="195"/>
      <c r="WPS94" s="195"/>
      <c r="WPT94" s="195"/>
      <c r="WPU94" s="195"/>
      <c r="WPV94" s="195"/>
      <c r="WPW94" s="195"/>
      <c r="WPX94" s="195"/>
      <c r="WPY94" s="195"/>
      <c r="WPZ94" s="195"/>
      <c r="WQA94" s="195"/>
      <c r="WQB94" s="195"/>
      <c r="WQC94" s="195"/>
      <c r="WQD94" s="195"/>
      <c r="WQE94" s="195"/>
      <c r="WQF94" s="195"/>
      <c r="WQG94" s="195"/>
      <c r="WQH94" s="195"/>
      <c r="WQI94" s="195"/>
      <c r="WQJ94" s="195"/>
      <c r="WQK94" s="195"/>
      <c r="WQL94" s="195"/>
      <c r="WQM94" s="195"/>
      <c r="WQN94" s="195"/>
      <c r="WQO94" s="195"/>
      <c r="WQP94" s="195"/>
      <c r="WQQ94" s="195"/>
      <c r="WQR94" s="195"/>
      <c r="WQS94" s="195"/>
      <c r="WQT94" s="195"/>
      <c r="WQU94" s="195"/>
      <c r="WQV94" s="195"/>
      <c r="WQW94" s="195"/>
      <c r="WQX94" s="195"/>
      <c r="WQY94" s="195"/>
      <c r="WQZ94" s="195"/>
      <c r="WRA94" s="195"/>
      <c r="WRB94" s="195"/>
      <c r="WRC94" s="195"/>
      <c r="WRD94" s="195"/>
      <c r="WRE94" s="195"/>
      <c r="WRF94" s="195"/>
      <c r="WRG94" s="195"/>
      <c r="WRH94" s="195"/>
      <c r="WRI94" s="195"/>
      <c r="WRJ94" s="195"/>
      <c r="WRK94" s="195"/>
      <c r="WRL94" s="195"/>
      <c r="WRM94" s="195"/>
      <c r="WRN94" s="195"/>
      <c r="WRO94" s="195"/>
      <c r="WRP94" s="195"/>
      <c r="WRQ94" s="195"/>
      <c r="WRR94" s="195"/>
      <c r="WRS94" s="195"/>
      <c r="WRT94" s="195"/>
      <c r="WRU94" s="195"/>
      <c r="WRV94" s="195"/>
      <c r="WRW94" s="195"/>
      <c r="WRX94" s="195"/>
      <c r="WRY94" s="195"/>
      <c r="WRZ94" s="195"/>
      <c r="WSA94" s="195"/>
      <c r="WSB94" s="195"/>
      <c r="WSC94" s="195"/>
      <c r="WSD94" s="195"/>
      <c r="WSE94" s="195"/>
      <c r="WSF94" s="195"/>
      <c r="WSG94" s="195"/>
      <c r="WSH94" s="195"/>
      <c r="WSI94" s="195"/>
      <c r="WSJ94" s="195"/>
      <c r="WSK94" s="195"/>
      <c r="WSL94" s="195"/>
      <c r="WSM94" s="195"/>
      <c r="WSN94" s="195"/>
      <c r="WSO94" s="195"/>
      <c r="WSP94" s="195"/>
      <c r="WSQ94" s="195"/>
      <c r="WSR94" s="195"/>
      <c r="WSS94" s="195"/>
      <c r="WST94" s="195"/>
      <c r="WSU94" s="195"/>
      <c r="WSV94" s="195"/>
      <c r="WSW94" s="195"/>
      <c r="WSX94" s="195"/>
      <c r="WSY94" s="195"/>
      <c r="WSZ94" s="195"/>
      <c r="WTA94" s="195"/>
      <c r="WTB94" s="195"/>
      <c r="WTC94" s="195"/>
      <c r="WTD94" s="195"/>
      <c r="WTE94" s="195"/>
      <c r="WTF94" s="195"/>
      <c r="WTG94" s="195"/>
      <c r="WTH94" s="195"/>
      <c r="WTI94" s="195"/>
      <c r="WTJ94" s="195"/>
      <c r="WTK94" s="195"/>
      <c r="WTL94" s="195"/>
      <c r="WTM94" s="195"/>
      <c r="WTN94" s="195"/>
      <c r="WTO94" s="195"/>
      <c r="WTP94" s="195"/>
      <c r="WTQ94" s="195"/>
      <c r="WTR94" s="195"/>
      <c r="WTS94" s="195"/>
      <c r="WTT94" s="195"/>
      <c r="WTU94" s="195"/>
      <c r="WTV94" s="195"/>
      <c r="WTW94" s="195"/>
      <c r="WTX94" s="195"/>
      <c r="WTY94" s="195"/>
      <c r="WTZ94" s="195"/>
      <c r="WUA94" s="195"/>
      <c r="WUB94" s="195"/>
      <c r="WUC94" s="195"/>
      <c r="WUD94" s="195"/>
      <c r="WUE94" s="195"/>
      <c r="WUF94" s="195"/>
      <c r="WUG94" s="195"/>
      <c r="WUH94" s="195"/>
      <c r="WUI94" s="195"/>
      <c r="WUJ94" s="195"/>
      <c r="WUK94" s="195"/>
      <c r="WUL94" s="195"/>
      <c r="WUM94" s="195"/>
      <c r="WUN94" s="195"/>
      <c r="WUO94" s="195"/>
      <c r="WUP94" s="195"/>
      <c r="WUQ94" s="195"/>
      <c r="WUR94" s="195"/>
      <c r="WUS94" s="195"/>
      <c r="WUT94" s="195"/>
      <c r="WUU94" s="195"/>
      <c r="WUV94" s="195"/>
      <c r="WUW94" s="195"/>
      <c r="WUX94" s="195"/>
      <c r="WUY94" s="195"/>
      <c r="WUZ94" s="195"/>
      <c r="WVA94" s="195"/>
      <c r="WVB94" s="195"/>
      <c r="WVC94" s="195"/>
      <c r="WVD94" s="195"/>
      <c r="WVE94" s="195"/>
      <c r="WVF94" s="195"/>
      <c r="WVG94" s="195"/>
      <c r="WVH94" s="195"/>
      <c r="WVI94" s="195"/>
      <c r="WVJ94" s="195"/>
      <c r="WVK94" s="195"/>
      <c r="WVL94" s="195"/>
      <c r="WVM94" s="195"/>
      <c r="WVN94" s="195"/>
      <c r="WVO94" s="195"/>
      <c r="WVP94" s="195"/>
      <c r="WVQ94" s="195"/>
      <c r="WVR94" s="195"/>
      <c r="WVS94" s="195"/>
      <c r="WVT94" s="195"/>
      <c r="WVU94" s="195"/>
      <c r="WVV94" s="195"/>
      <c r="WVW94" s="195"/>
      <c r="WVX94" s="195"/>
      <c r="WVY94" s="195"/>
      <c r="WVZ94" s="195"/>
      <c r="WWA94" s="195"/>
      <c r="WWB94" s="195"/>
      <c r="WWC94" s="195"/>
      <c r="WWD94" s="195"/>
      <c r="WWE94" s="195"/>
      <c r="WWF94" s="195"/>
      <c r="WWG94" s="195"/>
      <c r="WWH94" s="195"/>
      <c r="WWI94" s="195"/>
      <c r="WWJ94" s="195"/>
      <c r="WWK94" s="195"/>
      <c r="WWL94" s="195"/>
      <c r="WWM94" s="195"/>
      <c r="WWN94" s="195"/>
      <c r="WWO94" s="195"/>
      <c r="WWP94" s="195"/>
      <c r="WWQ94" s="195"/>
      <c r="WWR94" s="195"/>
      <c r="WWS94" s="195"/>
      <c r="WWT94" s="195"/>
      <c r="WWU94" s="195"/>
      <c r="WWV94" s="195"/>
      <c r="WWW94" s="195"/>
      <c r="WWX94" s="195"/>
      <c r="WWY94" s="195"/>
      <c r="WWZ94" s="195"/>
      <c r="WXA94" s="195"/>
      <c r="WXB94" s="195"/>
      <c r="WXC94" s="195"/>
      <c r="WXD94" s="195"/>
      <c r="WXE94" s="195"/>
      <c r="WXF94" s="195"/>
      <c r="WXG94" s="195"/>
      <c r="WXH94" s="195"/>
      <c r="WXI94" s="195"/>
      <c r="WXJ94" s="195"/>
      <c r="WXK94" s="195"/>
      <c r="WXL94" s="195"/>
      <c r="WXM94" s="195"/>
      <c r="WXN94" s="195"/>
      <c r="WXO94" s="195"/>
      <c r="WXP94" s="195"/>
      <c r="WXQ94" s="195"/>
      <c r="WXR94" s="195"/>
      <c r="WXS94" s="195"/>
      <c r="WXT94" s="195"/>
      <c r="WXU94" s="195"/>
      <c r="WXV94" s="195"/>
      <c r="WXW94" s="195"/>
      <c r="WXX94" s="195"/>
      <c r="WXY94" s="195"/>
      <c r="WXZ94" s="195"/>
      <c r="WYA94" s="195"/>
      <c r="WYB94" s="195"/>
      <c r="WYC94" s="195"/>
      <c r="WYD94" s="195"/>
      <c r="WYE94" s="195"/>
      <c r="WYF94" s="195"/>
      <c r="WYG94" s="195"/>
      <c r="WYH94" s="195"/>
      <c r="WYI94" s="195"/>
      <c r="WYJ94" s="195"/>
      <c r="WYK94" s="195"/>
      <c r="WYL94" s="195"/>
      <c r="WYM94" s="195"/>
      <c r="WYN94" s="195"/>
      <c r="WYO94" s="195"/>
      <c r="WYP94" s="195"/>
      <c r="WYQ94" s="195"/>
      <c r="WYR94" s="195"/>
      <c r="WYS94" s="195"/>
      <c r="WYT94" s="195"/>
      <c r="WYU94" s="195"/>
      <c r="WYV94" s="195"/>
      <c r="WYW94" s="195"/>
      <c r="WYX94" s="195"/>
      <c r="WYY94" s="195"/>
      <c r="WYZ94" s="195"/>
      <c r="WZA94" s="195"/>
      <c r="WZB94" s="195"/>
      <c r="WZC94" s="195"/>
      <c r="WZD94" s="195"/>
      <c r="WZE94" s="195"/>
      <c r="WZF94" s="195"/>
      <c r="WZG94" s="195"/>
      <c r="WZH94" s="195"/>
      <c r="WZI94" s="195"/>
      <c r="WZJ94" s="195"/>
      <c r="WZK94" s="195"/>
      <c r="WZL94" s="195"/>
      <c r="WZM94" s="195"/>
      <c r="WZN94" s="195"/>
      <c r="WZO94" s="195"/>
      <c r="WZP94" s="195"/>
      <c r="WZQ94" s="195"/>
      <c r="WZR94" s="195"/>
      <c r="WZS94" s="195"/>
      <c r="WZT94" s="195"/>
      <c r="WZU94" s="195"/>
      <c r="WZV94" s="195"/>
      <c r="WZW94" s="195"/>
      <c r="WZX94" s="195"/>
      <c r="WZY94" s="195"/>
      <c r="WZZ94" s="195"/>
      <c r="XAA94" s="195"/>
      <c r="XAB94" s="195"/>
      <c r="XAC94" s="195"/>
      <c r="XAD94" s="195"/>
      <c r="XAE94" s="195"/>
      <c r="XAF94" s="195"/>
      <c r="XAG94" s="195"/>
      <c r="XAH94" s="195"/>
      <c r="XAI94" s="195"/>
      <c r="XAJ94" s="195"/>
      <c r="XAK94" s="195"/>
      <c r="XAL94" s="195"/>
      <c r="XAM94" s="195"/>
      <c r="XAN94" s="195"/>
      <c r="XAO94" s="195"/>
      <c r="XAP94" s="195"/>
      <c r="XAQ94" s="195"/>
      <c r="XAR94" s="195"/>
      <c r="XAS94" s="195"/>
      <c r="XAT94" s="195"/>
      <c r="XAU94" s="195"/>
      <c r="XAV94" s="195"/>
      <c r="XAW94" s="195"/>
      <c r="XAX94" s="195"/>
      <c r="XAY94" s="195"/>
      <c r="XAZ94" s="195"/>
      <c r="XBA94" s="195"/>
      <c r="XBB94" s="195"/>
      <c r="XBC94" s="195"/>
      <c r="XBD94" s="195"/>
      <c r="XBE94" s="195"/>
      <c r="XBF94" s="195"/>
      <c r="XBG94" s="195"/>
      <c r="XBH94" s="195"/>
      <c r="XBI94" s="195"/>
      <c r="XBJ94" s="195"/>
      <c r="XBK94" s="195"/>
      <c r="XBL94" s="195"/>
      <c r="XBM94" s="195"/>
      <c r="XBN94" s="195"/>
      <c r="XBO94" s="195"/>
      <c r="XBP94" s="195"/>
      <c r="XBQ94" s="195"/>
      <c r="XBR94" s="195"/>
      <c r="XBS94" s="195"/>
      <c r="XBT94" s="195"/>
      <c r="XBU94" s="195"/>
      <c r="XBV94" s="195"/>
      <c r="XBW94" s="195"/>
      <c r="XBX94" s="195"/>
      <c r="XBY94" s="195"/>
      <c r="XBZ94" s="195"/>
      <c r="XCA94" s="195"/>
      <c r="XCB94" s="195"/>
      <c r="XCC94" s="195"/>
      <c r="XCD94" s="195"/>
      <c r="XCE94" s="195"/>
      <c r="XCF94" s="195"/>
      <c r="XCG94" s="195"/>
      <c r="XCH94" s="195"/>
      <c r="XCI94" s="195"/>
      <c r="XCJ94" s="195"/>
      <c r="XCK94" s="195"/>
      <c r="XCL94" s="195"/>
      <c r="XCM94" s="195"/>
      <c r="XCN94" s="195"/>
      <c r="XCO94" s="195"/>
      <c r="XCP94" s="195"/>
      <c r="XCQ94" s="195"/>
      <c r="XCR94" s="195"/>
      <c r="XCS94" s="195"/>
      <c r="XCT94" s="195"/>
      <c r="XCU94" s="195"/>
      <c r="XCV94" s="195"/>
      <c r="XCW94" s="195"/>
      <c r="XCX94" s="195"/>
      <c r="XCY94" s="195"/>
      <c r="XCZ94" s="195"/>
      <c r="XDA94" s="195"/>
      <c r="XDB94" s="195"/>
      <c r="XDC94" s="195"/>
      <c r="XDD94" s="195"/>
      <c r="XDE94" s="195"/>
      <c r="XDF94" s="195"/>
      <c r="XDG94" s="195"/>
      <c r="XDH94" s="195"/>
      <c r="XDI94" s="195"/>
      <c r="XDJ94" s="195"/>
      <c r="XDK94" s="195"/>
      <c r="XDL94" s="195"/>
      <c r="XDM94" s="195"/>
      <c r="XDN94" s="195"/>
      <c r="XDO94" s="195"/>
      <c r="XDP94" s="195"/>
      <c r="XDQ94" s="195"/>
      <c r="XDR94" s="195"/>
      <c r="XDS94" s="195"/>
      <c r="XDT94" s="195"/>
      <c r="XDU94" s="195"/>
      <c r="XDV94" s="195"/>
      <c r="XDW94" s="195"/>
      <c r="XDX94" s="195"/>
      <c r="XDY94" s="195"/>
      <c r="XDZ94" s="195"/>
      <c r="XEA94" s="195"/>
      <c r="XEB94" s="195"/>
      <c r="XEC94" s="195"/>
      <c r="XED94" s="195"/>
      <c r="XEE94" s="195"/>
      <c r="XEF94" s="195"/>
      <c r="XEG94" s="195"/>
      <c r="XEH94" s="195"/>
      <c r="XEI94" s="195"/>
      <c r="XEJ94" s="195"/>
      <c r="XEK94" s="195"/>
      <c r="XEL94" s="195"/>
      <c r="XEM94" s="195"/>
      <c r="XEN94" s="195"/>
      <c r="XEO94" s="195"/>
      <c r="XEP94" s="195"/>
      <c r="XEQ94" s="195"/>
      <c r="XER94" s="195"/>
      <c r="XES94" s="195"/>
      <c r="XET94" s="195"/>
      <c r="XEU94" s="195"/>
      <c r="XEV94" s="195"/>
      <c r="XEW94" s="195"/>
      <c r="XEX94" s="195"/>
      <c r="XEY94" s="195"/>
      <c r="XEZ94" s="195"/>
      <c r="XFA94" s="195"/>
      <c r="XFB94" s="195"/>
      <c r="XFC94" s="195"/>
      <c r="XFD94" s="195"/>
    </row>
    <row r="96" spans="1:16384" x14ac:dyDescent="0.3">
      <c r="A96" s="214" t="s">
        <v>822</v>
      </c>
      <c r="B96" s="195">
        <v>2014</v>
      </c>
      <c r="C96" s="376">
        <v>2015</v>
      </c>
      <c r="D96" s="195">
        <v>2016</v>
      </c>
      <c r="E96" s="195">
        <v>2017</v>
      </c>
    </row>
    <row r="97" spans="1:5" x14ac:dyDescent="0.3">
      <c r="A97" s="5"/>
      <c r="B97" s="660"/>
      <c r="C97" s="661"/>
      <c r="D97" s="5"/>
      <c r="E97" s="5"/>
    </row>
    <row r="98" spans="1:5" x14ac:dyDescent="0.3">
      <c r="A98" t="s">
        <v>853</v>
      </c>
      <c r="B98" s="656">
        <f>SUM(B92,B48)</f>
        <v>116457</v>
      </c>
      <c r="C98" s="656">
        <f>SUM(C92,C48)</f>
        <v>186509</v>
      </c>
      <c r="D98" s="656">
        <f>SUM(D92,D48)</f>
        <v>185477</v>
      </c>
      <c r="E98" s="656">
        <f>SUM(E92,E48)</f>
        <v>219458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38"/>
  <sheetViews>
    <sheetView zoomScale="85" zoomScaleNormal="85" workbookViewId="0">
      <selection activeCell="B3" sqref="B3"/>
    </sheetView>
  </sheetViews>
  <sheetFormatPr defaultColWidth="8.77734375" defaultRowHeight="33" customHeight="1" x14ac:dyDescent="0.3"/>
  <cols>
    <col min="1" max="1" width="27.109375" bestFit="1" customWidth="1"/>
    <col min="2" max="2" width="19.6640625" customWidth="1"/>
  </cols>
  <sheetData>
    <row r="1" spans="1:10" ht="33" customHeight="1" x14ac:dyDescent="0.4">
      <c r="A1" s="204" t="s">
        <v>510</v>
      </c>
      <c r="B1" s="545" t="s">
        <v>785</v>
      </c>
      <c r="C1" s="544"/>
      <c r="D1" s="545"/>
      <c r="E1" s="545"/>
      <c r="F1" s="545"/>
      <c r="G1" s="545"/>
      <c r="H1" s="545"/>
      <c r="I1" s="545"/>
      <c r="J1" s="545"/>
    </row>
    <row r="2" spans="1:10" ht="33" customHeight="1" thickBot="1" x14ac:dyDescent="0.35">
      <c r="A2" s="611" t="s">
        <v>509</v>
      </c>
      <c r="B2" s="610">
        <v>2017</v>
      </c>
      <c r="C2" s="544"/>
      <c r="D2" s="546"/>
      <c r="E2" s="546"/>
      <c r="F2" s="546"/>
      <c r="G2" s="546"/>
      <c r="H2" s="546"/>
      <c r="I2" s="546"/>
      <c r="J2" s="546"/>
    </row>
    <row r="3" spans="1:10" ht="33" customHeight="1" thickTop="1" x14ac:dyDescent="0.3">
      <c r="A3" s="196" t="s">
        <v>233</v>
      </c>
      <c r="B3" s="547">
        <v>32665</v>
      </c>
      <c r="C3" s="544"/>
      <c r="D3" s="548"/>
      <c r="E3" s="548"/>
      <c r="F3" s="548"/>
      <c r="G3" s="548"/>
      <c r="H3" s="548"/>
      <c r="I3" s="548"/>
      <c r="J3" s="548"/>
    </row>
    <row r="4" spans="1:10" ht="33" customHeight="1" x14ac:dyDescent="0.3">
      <c r="A4" s="197" t="s">
        <v>234</v>
      </c>
      <c r="B4" s="549">
        <v>39803</v>
      </c>
      <c r="C4" s="544"/>
      <c r="D4" s="550"/>
      <c r="E4" s="550"/>
      <c r="F4" s="550"/>
      <c r="G4" s="550"/>
      <c r="H4" s="550"/>
      <c r="I4" s="550"/>
      <c r="J4" s="550"/>
    </row>
    <row r="5" spans="1:10" ht="33" customHeight="1" x14ac:dyDescent="0.3">
      <c r="A5" s="197" t="s">
        <v>168</v>
      </c>
      <c r="B5" s="549">
        <v>408233</v>
      </c>
      <c r="C5" s="544"/>
      <c r="D5" s="550"/>
      <c r="E5" s="550"/>
      <c r="F5" s="550"/>
      <c r="G5" s="550"/>
      <c r="H5" s="550"/>
      <c r="I5" s="550"/>
      <c r="J5" s="550"/>
    </row>
    <row r="6" spans="1:10" ht="33" customHeight="1" x14ac:dyDescent="0.3">
      <c r="A6" s="197" t="s">
        <v>169</v>
      </c>
      <c r="B6" s="549">
        <v>64935</v>
      </c>
      <c r="C6" s="544"/>
      <c r="D6" s="550"/>
      <c r="E6" s="550"/>
      <c r="F6" s="550"/>
      <c r="G6" s="550"/>
      <c r="H6" s="550"/>
      <c r="I6" s="550"/>
      <c r="J6" s="550"/>
    </row>
    <row r="7" spans="1:10" ht="33" customHeight="1" x14ac:dyDescent="0.3">
      <c r="A7" s="197" t="s">
        <v>170</v>
      </c>
      <c r="B7" s="549">
        <v>3496</v>
      </c>
      <c r="C7" s="544"/>
      <c r="D7" s="550"/>
      <c r="E7" s="550"/>
      <c r="F7" s="550"/>
      <c r="G7" s="550"/>
      <c r="H7" s="550"/>
      <c r="I7" s="550"/>
      <c r="J7" s="550"/>
    </row>
    <row r="8" spans="1:10" ht="33" customHeight="1" x14ac:dyDescent="0.3">
      <c r="A8" s="197" t="s">
        <v>171</v>
      </c>
      <c r="B8" s="549">
        <v>62108</v>
      </c>
      <c r="C8" s="544"/>
      <c r="D8" s="550"/>
      <c r="E8" s="550"/>
      <c r="F8" s="550"/>
      <c r="G8" s="550"/>
      <c r="H8" s="550"/>
      <c r="I8" s="550"/>
      <c r="J8" s="550"/>
    </row>
    <row r="9" spans="1:10" ht="33" customHeight="1" x14ac:dyDescent="0.3">
      <c r="A9" s="197" t="s">
        <v>172</v>
      </c>
      <c r="B9" s="549">
        <v>204855</v>
      </c>
      <c r="C9" s="544"/>
      <c r="D9" s="550"/>
      <c r="E9" s="550"/>
      <c r="F9" s="550"/>
      <c r="G9" s="550"/>
      <c r="H9" s="550"/>
      <c r="I9" s="550"/>
      <c r="J9" s="550"/>
    </row>
    <row r="10" spans="1:10" ht="33" customHeight="1" x14ac:dyDescent="0.3">
      <c r="A10" s="197" t="s">
        <v>235</v>
      </c>
      <c r="B10" s="549">
        <v>54391</v>
      </c>
      <c r="C10" s="544"/>
      <c r="D10" s="550"/>
      <c r="E10" s="550"/>
      <c r="F10" s="550"/>
      <c r="G10" s="550"/>
      <c r="H10" s="550"/>
      <c r="I10" s="550"/>
      <c r="J10" s="550"/>
    </row>
    <row r="11" spans="1:10" ht="33" customHeight="1" x14ac:dyDescent="0.3">
      <c r="A11" s="197" t="s">
        <v>345</v>
      </c>
      <c r="B11" s="551">
        <v>70474</v>
      </c>
      <c r="C11" s="544"/>
      <c r="D11" s="552"/>
      <c r="E11" s="552"/>
      <c r="F11" s="552"/>
      <c r="G11" s="552"/>
      <c r="H11" s="552"/>
      <c r="I11" s="552"/>
      <c r="J11" s="552"/>
    </row>
    <row r="12" spans="1:10" ht="33" customHeight="1" x14ac:dyDescent="0.3">
      <c r="A12" s="197" t="s">
        <v>175</v>
      </c>
      <c r="B12" s="549">
        <v>88866</v>
      </c>
      <c r="C12" s="544"/>
      <c r="D12" s="550"/>
      <c r="E12" s="550"/>
      <c r="F12" s="550"/>
      <c r="G12" s="550"/>
      <c r="H12" s="550"/>
      <c r="I12" s="550"/>
      <c r="J12" s="550"/>
    </row>
    <row r="13" spans="1:10" ht="33" customHeight="1" x14ac:dyDescent="0.3">
      <c r="A13" s="197" t="s">
        <v>176</v>
      </c>
      <c r="B13" s="549">
        <v>63173</v>
      </c>
      <c r="C13" s="544"/>
      <c r="D13" s="550"/>
      <c r="E13" s="550"/>
      <c r="F13" s="550"/>
      <c r="G13" s="550"/>
      <c r="H13" s="550"/>
      <c r="I13" s="550"/>
      <c r="J13" s="550"/>
    </row>
    <row r="14" spans="1:10" ht="33" customHeight="1" x14ac:dyDescent="0.3">
      <c r="A14" s="197" t="s">
        <v>178</v>
      </c>
      <c r="B14" s="549">
        <v>314514</v>
      </c>
      <c r="C14" s="544"/>
      <c r="D14" s="550"/>
      <c r="E14" s="550"/>
      <c r="F14" s="550"/>
      <c r="G14" s="550"/>
      <c r="H14" s="550"/>
      <c r="I14" s="550"/>
      <c r="J14" s="550"/>
    </row>
    <row r="15" spans="1:10" ht="33" customHeight="1" x14ac:dyDescent="0.3">
      <c r="A15" s="197" t="s">
        <v>237</v>
      </c>
      <c r="B15" s="549">
        <v>99479</v>
      </c>
      <c r="C15" s="544"/>
      <c r="D15" s="550"/>
      <c r="E15" s="550"/>
      <c r="F15" s="550"/>
      <c r="G15" s="550"/>
      <c r="H15" s="550"/>
      <c r="I15" s="550"/>
      <c r="J15" s="550"/>
    </row>
    <row r="16" spans="1:10" ht="33" customHeight="1" x14ac:dyDescent="0.3">
      <c r="A16" s="197" t="s">
        <v>512</v>
      </c>
      <c r="B16" s="549">
        <v>2614764</v>
      </c>
      <c r="C16" s="544"/>
      <c r="D16" s="550"/>
      <c r="E16" s="550"/>
      <c r="F16" s="550"/>
      <c r="G16" s="550"/>
      <c r="H16" s="550"/>
      <c r="I16" s="550"/>
      <c r="J16" s="550"/>
    </row>
    <row r="17" spans="1:10" ht="33" customHeight="1" x14ac:dyDescent="0.3">
      <c r="A17" s="197" t="s">
        <v>238</v>
      </c>
      <c r="B17" s="549">
        <v>39129</v>
      </c>
      <c r="C17" s="544"/>
      <c r="D17" s="550"/>
      <c r="E17" s="550"/>
      <c r="F17" s="550"/>
      <c r="G17" s="550"/>
      <c r="H17" s="550"/>
      <c r="I17" s="550"/>
      <c r="J17" s="550"/>
    </row>
    <row r="18" spans="1:10" ht="33" customHeight="1" x14ac:dyDescent="0.3">
      <c r="A18" s="197" t="s">
        <v>239</v>
      </c>
      <c r="B18" s="549">
        <v>32990</v>
      </c>
      <c r="C18" s="544"/>
      <c r="D18" s="550"/>
      <c r="E18" s="550"/>
      <c r="F18" s="550"/>
      <c r="G18" s="550"/>
      <c r="H18" s="550"/>
      <c r="I18" s="550"/>
      <c r="J18" s="550"/>
    </row>
    <row r="19" spans="1:10" ht="33" customHeight="1" x14ac:dyDescent="0.3">
      <c r="A19" s="197" t="s">
        <v>241</v>
      </c>
      <c r="B19" s="551">
        <v>11513</v>
      </c>
      <c r="C19" s="544"/>
      <c r="D19" s="552"/>
      <c r="E19" s="552"/>
      <c r="F19" s="552"/>
      <c r="G19" s="552"/>
      <c r="H19" s="552"/>
      <c r="I19" s="552"/>
      <c r="J19" s="552"/>
    </row>
    <row r="20" spans="1:10" ht="33" customHeight="1" x14ac:dyDescent="0.3">
      <c r="A20" s="197" t="s">
        <v>183</v>
      </c>
      <c r="B20" s="549">
        <v>164697</v>
      </c>
      <c r="C20" s="544"/>
      <c r="D20" s="550"/>
      <c r="E20" s="550"/>
      <c r="F20" s="550"/>
      <c r="G20" s="550"/>
      <c r="H20" s="550"/>
      <c r="I20" s="550"/>
      <c r="J20" s="550"/>
    </row>
    <row r="21" spans="1:10" ht="33" customHeight="1" x14ac:dyDescent="0.3">
      <c r="A21" s="197" t="s">
        <v>184</v>
      </c>
      <c r="B21" s="549">
        <v>88706</v>
      </c>
      <c r="C21" s="544"/>
      <c r="D21" s="550"/>
      <c r="E21" s="550"/>
      <c r="F21" s="550"/>
      <c r="G21" s="550"/>
      <c r="H21" s="550"/>
      <c r="I21" s="550"/>
      <c r="J21" s="550"/>
    </row>
    <row r="22" spans="1:10" ht="33" customHeight="1" x14ac:dyDescent="0.3">
      <c r="A22" s="197" t="s">
        <v>185</v>
      </c>
      <c r="B22" s="549">
        <v>5561</v>
      </c>
      <c r="C22" s="544"/>
      <c r="D22" s="550"/>
      <c r="E22" s="550"/>
      <c r="F22" s="550"/>
      <c r="G22" s="550"/>
      <c r="H22" s="550"/>
      <c r="I22" s="550"/>
      <c r="J22" s="550"/>
    </row>
    <row r="23" spans="1:10" ht="33" customHeight="1" x14ac:dyDescent="0.3">
      <c r="A23" s="197" t="s">
        <v>242</v>
      </c>
      <c r="B23" s="549">
        <v>87628</v>
      </c>
      <c r="C23" s="544"/>
      <c r="D23" s="550"/>
      <c r="E23" s="550"/>
      <c r="F23" s="550"/>
      <c r="G23" s="550"/>
      <c r="H23" s="550"/>
      <c r="I23" s="550"/>
      <c r="J23" s="550"/>
    </row>
    <row r="24" spans="1:10" ht="33" customHeight="1" x14ac:dyDescent="0.3">
      <c r="A24" s="197" t="s">
        <v>187</v>
      </c>
      <c r="B24" s="549">
        <v>65711</v>
      </c>
      <c r="C24" s="544"/>
      <c r="D24" s="550"/>
      <c r="E24" s="550"/>
      <c r="F24" s="550"/>
      <c r="G24" s="550"/>
      <c r="H24" s="550"/>
      <c r="I24" s="550"/>
      <c r="J24" s="550"/>
    </row>
    <row r="25" spans="1:10" ht="33" customHeight="1" x14ac:dyDescent="0.3">
      <c r="A25" s="197" t="s">
        <v>188</v>
      </c>
      <c r="B25" s="549">
        <v>21139</v>
      </c>
      <c r="C25" s="544"/>
      <c r="D25" s="550"/>
      <c r="E25" s="550"/>
      <c r="F25" s="550"/>
      <c r="G25" s="550"/>
      <c r="H25" s="550"/>
      <c r="I25" s="550"/>
      <c r="J25" s="550"/>
    </row>
    <row r="26" spans="1:10" ht="33" customHeight="1" x14ac:dyDescent="0.3">
      <c r="A26" s="197" t="s">
        <v>243</v>
      </c>
      <c r="B26" s="549">
        <v>18854</v>
      </c>
      <c r="C26" s="544"/>
      <c r="D26" s="550"/>
      <c r="E26" s="550"/>
      <c r="F26" s="550"/>
      <c r="G26" s="550"/>
      <c r="H26" s="550"/>
      <c r="I26" s="550"/>
      <c r="J26" s="550"/>
    </row>
    <row r="27" spans="1:10" ht="33" customHeight="1" x14ac:dyDescent="0.3">
      <c r="A27" s="197" t="s">
        <v>244</v>
      </c>
      <c r="B27" s="549">
        <v>44637</v>
      </c>
      <c r="C27" s="544"/>
      <c r="D27" s="550"/>
      <c r="E27" s="550"/>
      <c r="F27" s="550"/>
      <c r="G27" s="550"/>
      <c r="H27" s="550"/>
      <c r="I27" s="550"/>
      <c r="J27" s="550"/>
    </row>
    <row r="28" spans="1:10" ht="33" customHeight="1" x14ac:dyDescent="0.3">
      <c r="A28" s="197" t="s">
        <v>346</v>
      </c>
      <c r="B28" s="549">
        <v>47346</v>
      </c>
      <c r="C28" s="544"/>
      <c r="D28" s="550"/>
      <c r="E28" s="550"/>
      <c r="F28" s="550"/>
      <c r="G28" s="550"/>
      <c r="H28" s="550"/>
      <c r="I28" s="550"/>
      <c r="J28" s="550"/>
    </row>
    <row r="29" spans="1:10" ht="33" customHeight="1" x14ac:dyDescent="0.3">
      <c r="A29" s="197" t="s">
        <v>191</v>
      </c>
      <c r="B29" s="549">
        <v>31630</v>
      </c>
      <c r="C29" s="544"/>
      <c r="D29" s="550"/>
      <c r="E29" s="550"/>
      <c r="F29" s="550"/>
      <c r="G29" s="550"/>
      <c r="H29" s="550"/>
      <c r="I29" s="550"/>
      <c r="J29" s="550"/>
    </row>
    <row r="30" spans="1:10" ht="33" customHeight="1" thickBot="1" x14ac:dyDescent="0.35">
      <c r="A30" s="197" t="s">
        <v>245</v>
      </c>
      <c r="B30" s="559">
        <v>140118</v>
      </c>
      <c r="C30" s="544"/>
      <c r="D30" s="550"/>
      <c r="E30" s="550"/>
      <c r="F30" s="550"/>
      <c r="G30" s="550"/>
      <c r="H30" s="550"/>
      <c r="I30" s="550"/>
      <c r="J30" s="550"/>
    </row>
    <row r="31" spans="1:10" ht="33" customHeight="1" thickTop="1" thickBot="1" x14ac:dyDescent="0.35">
      <c r="A31" s="198" t="s">
        <v>513</v>
      </c>
      <c r="B31" s="612">
        <f>SUM(B3:B30)</f>
        <v>4921415</v>
      </c>
      <c r="C31" s="544"/>
      <c r="D31" s="554"/>
      <c r="E31" s="554"/>
      <c r="F31" s="554"/>
      <c r="G31" s="554"/>
      <c r="H31" s="554"/>
      <c r="I31" s="554"/>
      <c r="J31" s="554"/>
    </row>
    <row r="32" spans="1:10" ht="33" customHeight="1" x14ac:dyDescent="0.3">
      <c r="A32" s="565" t="s">
        <v>596</v>
      </c>
      <c r="B32" s="566" t="s">
        <v>731</v>
      </c>
      <c r="C32" s="6"/>
      <c r="D32" s="2"/>
      <c r="E32" s="550"/>
      <c r="F32" s="550"/>
      <c r="G32" s="550"/>
      <c r="H32" s="550"/>
      <c r="I32" s="550"/>
      <c r="J32" s="550"/>
    </row>
    <row r="33" spans="1:10" ht="33" customHeight="1" x14ac:dyDescent="0.3">
      <c r="A33" s="10"/>
      <c r="B33" s="567" t="s">
        <v>732</v>
      </c>
      <c r="C33" s="6"/>
      <c r="D33" s="201"/>
      <c r="E33" s="552"/>
      <c r="F33" s="552"/>
      <c r="G33" s="552"/>
      <c r="H33" s="552"/>
      <c r="I33" s="552"/>
      <c r="J33" s="552"/>
    </row>
    <row r="34" spans="1:10" ht="33" customHeight="1" x14ac:dyDescent="0.3">
      <c r="A34" s="10"/>
      <c r="B34" s="567" t="s">
        <v>733</v>
      </c>
      <c r="C34" s="6"/>
      <c r="D34" s="201"/>
      <c r="E34" s="550"/>
      <c r="F34" s="550"/>
      <c r="G34" s="550"/>
      <c r="H34" s="550"/>
      <c r="I34" s="550"/>
      <c r="J34" s="550"/>
    </row>
    <row r="35" spans="1:10" ht="33" customHeight="1" x14ac:dyDescent="0.3">
      <c r="A35" s="202"/>
      <c r="C35" s="6"/>
      <c r="D35" s="190"/>
      <c r="E35" s="550"/>
      <c r="F35" s="550"/>
      <c r="G35" s="550"/>
      <c r="H35" s="550"/>
      <c r="I35" s="550"/>
      <c r="J35" s="550"/>
    </row>
    <row r="36" spans="1:10" ht="33" customHeight="1" x14ac:dyDescent="0.3">
      <c r="A36" s="202"/>
      <c r="B36" s="567"/>
      <c r="C36" s="6"/>
      <c r="D36" s="568"/>
      <c r="E36" s="550"/>
      <c r="F36" s="550"/>
      <c r="G36" s="550"/>
      <c r="H36" s="550"/>
      <c r="I36" s="550"/>
      <c r="J36" s="550"/>
    </row>
    <row r="37" spans="1:10" ht="33" customHeight="1" x14ac:dyDescent="0.3">
      <c r="A37" s="202"/>
      <c r="B37" s="567" t="s">
        <v>734</v>
      </c>
      <c r="C37" s="6"/>
      <c r="D37" s="2"/>
      <c r="E37" s="550"/>
      <c r="F37" s="550"/>
      <c r="G37" s="550"/>
      <c r="H37" s="550"/>
      <c r="I37" s="550"/>
      <c r="J37" s="550"/>
    </row>
    <row r="38" spans="1:10" ht="33" customHeight="1" x14ac:dyDescent="0.3">
      <c r="A38" s="202"/>
      <c r="B38" s="567"/>
      <c r="C38" s="6"/>
      <c r="D38" s="569"/>
      <c r="E38" s="550"/>
      <c r="F38" s="550"/>
      <c r="G38" s="550"/>
      <c r="H38" s="550"/>
      <c r="I38" s="550"/>
      <c r="J38" s="550"/>
    </row>
    <row r="39" spans="1:10" ht="33" customHeight="1" x14ac:dyDescent="0.3">
      <c r="A39" s="202"/>
      <c r="B39" s="590" t="s">
        <v>202</v>
      </c>
      <c r="C39" s="6"/>
      <c r="D39" s="569"/>
      <c r="E39" s="550"/>
      <c r="F39" s="550"/>
      <c r="G39" s="550"/>
      <c r="H39" s="550"/>
      <c r="I39" s="550"/>
      <c r="J39" s="550"/>
    </row>
    <row r="40" spans="1:10" ht="33" customHeight="1" x14ac:dyDescent="0.3">
      <c r="A40" s="203"/>
      <c r="B40" s="570" t="s">
        <v>735</v>
      </c>
      <c r="C40" s="6"/>
      <c r="D40" s="571"/>
      <c r="E40" s="556"/>
      <c r="F40" s="556"/>
      <c r="G40" s="556"/>
      <c r="H40" s="556"/>
      <c r="I40" s="556"/>
      <c r="J40" s="556"/>
    </row>
    <row r="41" spans="1:10" ht="33" customHeight="1" x14ac:dyDescent="0.3">
      <c r="B41" s="566" t="s">
        <v>736</v>
      </c>
      <c r="C41" s="6"/>
      <c r="D41" s="571"/>
      <c r="E41" s="554"/>
      <c r="F41" s="554"/>
      <c r="G41" s="554"/>
      <c r="H41" s="554"/>
      <c r="I41" s="554"/>
      <c r="J41" s="554"/>
    </row>
    <row r="42" spans="1:10" ht="33" customHeight="1" x14ac:dyDescent="0.3">
      <c r="B42" s="566" t="s">
        <v>737</v>
      </c>
      <c r="C42" s="6"/>
      <c r="D42" s="201"/>
      <c r="E42" s="554"/>
      <c r="F42" s="554"/>
      <c r="G42" s="554"/>
      <c r="H42" s="554"/>
      <c r="I42" s="554"/>
      <c r="J42" s="554"/>
    </row>
    <row r="43" spans="1:10" ht="32.549999999999997" customHeight="1" x14ac:dyDescent="0.3">
      <c r="B43" s="419" t="s">
        <v>738</v>
      </c>
      <c r="C43" s="6"/>
      <c r="D43" s="201"/>
      <c r="E43" s="554"/>
      <c r="F43" s="554"/>
      <c r="G43" s="554"/>
      <c r="H43" s="554"/>
      <c r="I43" s="554"/>
      <c r="J43" s="554"/>
    </row>
    <row r="44" spans="1:10" ht="32.549999999999997" customHeight="1" x14ac:dyDescent="0.3">
      <c r="B44" s="419" t="s">
        <v>739</v>
      </c>
      <c r="C44" s="6"/>
      <c r="D44" s="201"/>
      <c r="E44" s="554"/>
      <c r="F44" s="554"/>
      <c r="G44" s="554"/>
      <c r="H44" s="554"/>
      <c r="I44" s="554"/>
      <c r="J44" s="554"/>
    </row>
    <row r="45" spans="1:10" ht="33" customHeight="1" x14ac:dyDescent="0.3">
      <c r="B45" s="566" t="s">
        <v>740</v>
      </c>
      <c r="C45" s="6"/>
      <c r="D45" s="201"/>
      <c r="E45" s="550"/>
      <c r="F45" s="550"/>
      <c r="G45" s="550"/>
      <c r="H45" s="550"/>
      <c r="I45" s="550"/>
      <c r="J45" s="550"/>
    </row>
    <row r="46" spans="1:10" ht="33" customHeight="1" x14ac:dyDescent="0.3">
      <c r="B46" s="567" t="s">
        <v>741</v>
      </c>
      <c r="C46" s="475"/>
      <c r="D46" s="190"/>
      <c r="E46" s="552"/>
      <c r="F46" s="552"/>
      <c r="G46" s="552"/>
      <c r="H46" s="552"/>
      <c r="I46" s="552"/>
      <c r="J46" s="552"/>
    </row>
    <row r="47" spans="1:10" ht="33" customHeight="1" x14ac:dyDescent="0.3">
      <c r="B47" s="566" t="s">
        <v>742</v>
      </c>
      <c r="C47" s="475"/>
      <c r="D47" s="190"/>
      <c r="E47" s="550"/>
      <c r="F47" s="550"/>
      <c r="G47" s="550"/>
      <c r="H47" s="550"/>
      <c r="I47" s="550"/>
      <c r="J47" s="550"/>
    </row>
    <row r="48" spans="1:10" ht="33" customHeight="1" x14ac:dyDescent="0.3">
      <c r="B48" s="566" t="s">
        <v>743</v>
      </c>
      <c r="C48" s="475"/>
      <c r="D48" s="190"/>
      <c r="E48" s="550"/>
      <c r="F48" s="550"/>
      <c r="G48" s="550"/>
      <c r="H48" s="550"/>
      <c r="I48" s="550"/>
      <c r="J48" s="550"/>
    </row>
    <row r="49" spans="2:10" ht="33" customHeight="1" x14ac:dyDescent="0.3">
      <c r="B49" s="549"/>
      <c r="C49" s="544"/>
      <c r="D49" s="550"/>
      <c r="E49" s="550"/>
      <c r="F49" s="550"/>
      <c r="G49" s="550"/>
      <c r="H49" s="550"/>
      <c r="I49" s="550"/>
      <c r="J49" s="550"/>
    </row>
    <row r="50" spans="2:10" ht="33" customHeight="1" x14ac:dyDescent="0.3">
      <c r="B50" s="549"/>
      <c r="C50" s="544"/>
      <c r="D50" s="550"/>
      <c r="E50" s="550"/>
      <c r="F50" s="550"/>
      <c r="G50" s="550"/>
      <c r="H50" s="550"/>
      <c r="I50" s="550"/>
      <c r="J50" s="550"/>
    </row>
    <row r="51" spans="2:10" ht="33" customHeight="1" x14ac:dyDescent="0.3">
      <c r="B51" s="549"/>
      <c r="C51" s="544"/>
      <c r="D51" s="550"/>
      <c r="E51" s="550"/>
      <c r="F51" s="550"/>
      <c r="G51" s="550"/>
      <c r="H51" s="550"/>
      <c r="I51" s="550"/>
      <c r="J51" s="550"/>
    </row>
    <row r="52" spans="2:10" ht="33" customHeight="1" x14ac:dyDescent="0.3">
      <c r="B52" s="549"/>
      <c r="C52" s="544"/>
      <c r="D52" s="550"/>
      <c r="E52" s="550"/>
      <c r="F52" s="550"/>
      <c r="G52" s="550"/>
      <c r="H52" s="550"/>
      <c r="I52" s="550"/>
      <c r="J52" s="550"/>
    </row>
    <row r="53" spans="2:10" ht="33" customHeight="1" x14ac:dyDescent="0.3">
      <c r="B53" s="551"/>
      <c r="C53" s="544"/>
      <c r="D53" s="552"/>
      <c r="E53" s="552"/>
      <c r="F53" s="552"/>
      <c r="G53" s="552"/>
      <c r="H53" s="552"/>
      <c r="I53" s="552"/>
      <c r="J53" s="552"/>
    </row>
    <row r="54" spans="2:10" ht="33" customHeight="1" x14ac:dyDescent="0.3">
      <c r="B54" s="549"/>
      <c r="C54" s="544"/>
      <c r="D54" s="550"/>
      <c r="E54" s="550"/>
      <c r="F54" s="550"/>
      <c r="G54" s="550"/>
      <c r="H54" s="550"/>
      <c r="I54" s="550"/>
      <c r="J54" s="550"/>
    </row>
    <row r="55" spans="2:10" ht="33" customHeight="1" x14ac:dyDescent="0.3">
      <c r="B55" s="549"/>
      <c r="C55" s="544"/>
      <c r="D55" s="550"/>
      <c r="E55" s="550"/>
      <c r="F55" s="550"/>
      <c r="G55" s="550"/>
      <c r="H55" s="550"/>
      <c r="I55" s="550"/>
      <c r="J55" s="550"/>
    </row>
    <row r="56" spans="2:10" ht="33" customHeight="1" x14ac:dyDescent="0.3">
      <c r="B56" s="549"/>
      <c r="C56" s="544"/>
      <c r="D56" s="550"/>
      <c r="E56" s="550"/>
      <c r="F56" s="550"/>
      <c r="G56" s="550"/>
      <c r="H56" s="550"/>
      <c r="I56" s="550"/>
      <c r="J56" s="550"/>
    </row>
    <row r="57" spans="2:10" ht="33" customHeight="1" x14ac:dyDescent="0.3">
      <c r="B57" s="549"/>
      <c r="C57" s="544"/>
      <c r="D57" s="550"/>
      <c r="E57" s="550"/>
      <c r="F57" s="550"/>
      <c r="G57" s="550"/>
      <c r="H57" s="550"/>
      <c r="I57" s="550"/>
      <c r="J57" s="550"/>
    </row>
    <row r="58" spans="2:10" ht="33" customHeight="1" x14ac:dyDescent="0.3">
      <c r="B58" s="549"/>
      <c r="C58" s="544"/>
      <c r="D58" s="550"/>
      <c r="E58" s="550"/>
      <c r="F58" s="550"/>
      <c r="G58" s="550"/>
      <c r="H58" s="550"/>
      <c r="I58" s="550"/>
      <c r="J58" s="550"/>
    </row>
    <row r="59" spans="2:10" ht="33" customHeight="1" x14ac:dyDescent="0.3">
      <c r="B59" s="549"/>
      <c r="C59" s="544"/>
      <c r="D59" s="550"/>
      <c r="E59" s="550"/>
      <c r="F59" s="550"/>
      <c r="G59" s="550"/>
      <c r="H59" s="550"/>
      <c r="I59" s="550"/>
      <c r="J59" s="550"/>
    </row>
    <row r="60" spans="2:10" ht="33" customHeight="1" x14ac:dyDescent="0.3">
      <c r="B60" s="549"/>
      <c r="C60" s="544"/>
      <c r="D60" s="550"/>
      <c r="E60" s="550"/>
      <c r="F60" s="550"/>
      <c r="G60" s="550"/>
      <c r="H60" s="550"/>
      <c r="I60" s="550"/>
      <c r="J60" s="550"/>
    </row>
    <row r="61" spans="2:10" ht="33" customHeight="1" x14ac:dyDescent="0.3">
      <c r="B61" s="549"/>
      <c r="C61" s="544"/>
      <c r="D61" s="550"/>
      <c r="E61" s="550"/>
      <c r="F61" s="550"/>
      <c r="G61" s="550"/>
      <c r="H61" s="550"/>
      <c r="I61" s="550"/>
      <c r="J61" s="550"/>
    </row>
    <row r="62" spans="2:10" ht="33" customHeight="1" x14ac:dyDescent="0.3">
      <c r="B62" s="549"/>
      <c r="C62" s="544"/>
      <c r="D62" s="550"/>
      <c r="E62" s="550"/>
      <c r="F62" s="550"/>
      <c r="G62" s="550"/>
      <c r="H62" s="550"/>
      <c r="I62" s="550"/>
      <c r="J62" s="550"/>
    </row>
    <row r="63" spans="2:10" ht="33" customHeight="1" x14ac:dyDescent="0.3">
      <c r="B63" s="549"/>
      <c r="C63" s="544"/>
      <c r="D63" s="550"/>
      <c r="E63" s="550"/>
      <c r="F63" s="550"/>
      <c r="G63" s="550"/>
      <c r="H63" s="550"/>
      <c r="I63" s="550"/>
      <c r="J63" s="550"/>
    </row>
    <row r="64" spans="2:10" ht="33" customHeight="1" x14ac:dyDescent="0.3">
      <c r="B64" s="551"/>
      <c r="C64" s="544"/>
      <c r="D64" s="552"/>
      <c r="E64" s="552"/>
      <c r="F64" s="552"/>
      <c r="G64" s="552"/>
      <c r="H64" s="552"/>
      <c r="I64" s="552"/>
      <c r="J64" s="552"/>
    </row>
    <row r="65" spans="2:10" ht="33" customHeight="1" x14ac:dyDescent="0.3">
      <c r="B65" s="549"/>
      <c r="C65" s="544"/>
      <c r="D65" s="550"/>
      <c r="E65" s="550"/>
      <c r="F65" s="550"/>
      <c r="G65" s="550"/>
      <c r="H65" s="550"/>
      <c r="I65" s="550"/>
      <c r="J65" s="550"/>
    </row>
    <row r="66" spans="2:10" ht="33" customHeight="1" x14ac:dyDescent="0.3">
      <c r="B66" s="549"/>
      <c r="C66" s="544"/>
      <c r="D66" s="550"/>
      <c r="E66" s="550"/>
      <c r="F66" s="550"/>
      <c r="G66" s="550"/>
      <c r="H66" s="550"/>
      <c r="I66" s="550"/>
      <c r="J66" s="550"/>
    </row>
    <row r="67" spans="2:10" ht="33" customHeight="1" x14ac:dyDescent="0.3">
      <c r="B67" s="549"/>
      <c r="C67" s="544"/>
      <c r="D67" s="550"/>
      <c r="E67" s="550"/>
      <c r="F67" s="550"/>
      <c r="G67" s="550"/>
      <c r="H67" s="550"/>
      <c r="I67" s="550"/>
      <c r="J67" s="550"/>
    </row>
    <row r="68" spans="2:10" ht="33" customHeight="1" x14ac:dyDescent="0.3">
      <c r="B68" s="549"/>
      <c r="C68" s="544"/>
      <c r="D68" s="550"/>
      <c r="E68" s="550"/>
      <c r="F68" s="550"/>
      <c r="G68" s="550"/>
      <c r="H68" s="550"/>
      <c r="I68" s="550"/>
      <c r="J68" s="550"/>
    </row>
    <row r="69" spans="2:10" ht="33" customHeight="1" x14ac:dyDescent="0.3">
      <c r="B69" s="549"/>
      <c r="C69" s="544"/>
      <c r="D69" s="550"/>
      <c r="E69" s="550"/>
      <c r="F69" s="550"/>
      <c r="G69" s="550"/>
      <c r="H69" s="550"/>
      <c r="I69" s="550"/>
      <c r="J69" s="550"/>
    </row>
    <row r="70" spans="2:10" ht="33" customHeight="1" x14ac:dyDescent="0.3">
      <c r="B70" s="549"/>
      <c r="C70" s="544"/>
      <c r="D70" s="550"/>
      <c r="E70" s="550"/>
      <c r="F70" s="550"/>
      <c r="G70" s="550"/>
      <c r="H70" s="550"/>
      <c r="I70" s="550"/>
      <c r="J70" s="550"/>
    </row>
    <row r="71" spans="2:10" ht="33" customHeight="1" x14ac:dyDescent="0.3">
      <c r="B71" s="549"/>
      <c r="C71" s="544"/>
      <c r="D71" s="550"/>
      <c r="E71" s="550"/>
      <c r="F71" s="550"/>
      <c r="G71" s="550"/>
      <c r="H71" s="550"/>
      <c r="I71" s="550"/>
      <c r="J71" s="550"/>
    </row>
    <row r="72" spans="2:10" ht="33" customHeight="1" x14ac:dyDescent="0.3">
      <c r="B72" s="549"/>
      <c r="C72" s="544"/>
      <c r="D72" s="550"/>
      <c r="E72" s="550"/>
      <c r="F72" s="550"/>
      <c r="G72" s="550"/>
      <c r="H72" s="550"/>
      <c r="I72" s="550"/>
      <c r="J72" s="550"/>
    </row>
    <row r="73" spans="2:10" ht="33" customHeight="1" x14ac:dyDescent="0.3">
      <c r="B73" s="551"/>
      <c r="C73" s="544"/>
      <c r="D73" s="552"/>
      <c r="E73" s="552"/>
      <c r="F73" s="552"/>
      <c r="G73" s="552"/>
      <c r="H73" s="552"/>
      <c r="I73" s="552"/>
      <c r="J73" s="552"/>
    </row>
    <row r="74" spans="2:10" ht="33" customHeight="1" x14ac:dyDescent="0.3">
      <c r="B74" s="549"/>
      <c r="C74" s="544"/>
      <c r="D74" s="550"/>
      <c r="E74" s="550"/>
      <c r="F74" s="550"/>
      <c r="G74" s="550"/>
      <c r="H74" s="550"/>
      <c r="I74" s="550"/>
      <c r="J74" s="550"/>
    </row>
    <row r="75" spans="2:10" ht="33" customHeight="1" x14ac:dyDescent="0.3">
      <c r="B75" s="549"/>
      <c r="C75" s="544"/>
      <c r="D75" s="550"/>
      <c r="E75" s="550"/>
      <c r="F75" s="550"/>
      <c r="G75" s="550"/>
      <c r="H75" s="550"/>
      <c r="I75" s="550"/>
      <c r="J75" s="550"/>
    </row>
    <row r="76" spans="2:10" ht="33" customHeight="1" x14ac:dyDescent="0.3">
      <c r="B76" s="549"/>
      <c r="C76" s="544"/>
      <c r="D76" s="550"/>
      <c r="E76" s="550"/>
      <c r="F76" s="550"/>
      <c r="G76" s="550"/>
      <c r="H76" s="550"/>
      <c r="I76" s="550"/>
      <c r="J76" s="550"/>
    </row>
    <row r="77" spans="2:10" ht="33" customHeight="1" x14ac:dyDescent="0.3">
      <c r="B77" s="549"/>
      <c r="C77" s="544"/>
      <c r="D77" s="550"/>
      <c r="E77" s="550"/>
      <c r="F77" s="550"/>
      <c r="G77" s="550"/>
      <c r="H77" s="550"/>
      <c r="I77" s="550"/>
      <c r="J77" s="550"/>
    </row>
    <row r="78" spans="2:10" ht="33" customHeight="1" x14ac:dyDescent="0.3">
      <c r="B78" s="549"/>
      <c r="C78" s="544"/>
      <c r="D78" s="550"/>
      <c r="E78" s="550"/>
      <c r="F78" s="550"/>
      <c r="G78" s="550"/>
      <c r="H78" s="550"/>
      <c r="I78" s="550"/>
      <c r="J78" s="550"/>
    </row>
    <row r="79" spans="2:10" ht="33" customHeight="1" x14ac:dyDescent="0.3">
      <c r="B79" s="549"/>
      <c r="C79" s="544"/>
      <c r="D79" s="550"/>
      <c r="E79" s="550"/>
      <c r="F79" s="550"/>
      <c r="G79" s="550"/>
      <c r="H79" s="550"/>
      <c r="I79" s="550"/>
      <c r="J79" s="550"/>
    </row>
    <row r="80" spans="2:10" ht="33" customHeight="1" x14ac:dyDescent="0.3">
      <c r="B80" s="551"/>
      <c r="C80" s="544"/>
      <c r="D80" s="552"/>
      <c r="E80" s="552"/>
      <c r="F80" s="552"/>
      <c r="G80" s="552"/>
      <c r="H80" s="552"/>
      <c r="I80" s="552"/>
      <c r="J80" s="552"/>
    </row>
    <row r="81" spans="2:10" ht="33" customHeight="1" x14ac:dyDescent="0.3">
      <c r="B81" s="549"/>
      <c r="C81" s="544"/>
      <c r="D81" s="550"/>
      <c r="E81" s="550"/>
      <c r="F81" s="550"/>
      <c r="G81" s="550"/>
      <c r="H81" s="550"/>
      <c r="I81" s="550"/>
      <c r="J81" s="550"/>
    </row>
    <row r="82" spans="2:10" ht="33" customHeight="1" x14ac:dyDescent="0.3">
      <c r="B82" s="549"/>
      <c r="C82" s="544"/>
      <c r="D82" s="550"/>
      <c r="E82" s="550"/>
      <c r="F82" s="550"/>
      <c r="G82" s="550"/>
      <c r="H82" s="550"/>
      <c r="I82" s="550"/>
      <c r="J82" s="550"/>
    </row>
    <row r="83" spans="2:10" ht="33" customHeight="1" x14ac:dyDescent="0.3">
      <c r="B83" s="549"/>
      <c r="C83" s="544"/>
      <c r="D83" s="550"/>
      <c r="E83" s="550"/>
      <c r="F83" s="550"/>
      <c r="G83" s="550"/>
      <c r="H83" s="550"/>
      <c r="I83" s="550"/>
      <c r="J83" s="550"/>
    </row>
    <row r="84" spans="2:10" ht="33" customHeight="1" x14ac:dyDescent="0.3">
      <c r="B84" s="549"/>
      <c r="C84" s="544"/>
      <c r="D84" s="550"/>
      <c r="E84" s="550"/>
      <c r="F84" s="550"/>
      <c r="G84" s="550"/>
      <c r="H84" s="550"/>
      <c r="I84" s="550"/>
      <c r="J84" s="550"/>
    </row>
    <row r="85" spans="2:10" ht="33" customHeight="1" x14ac:dyDescent="0.3">
      <c r="B85" s="549"/>
      <c r="C85" s="544"/>
      <c r="D85" s="550"/>
      <c r="E85" s="550"/>
      <c r="F85" s="550"/>
      <c r="G85" s="550"/>
      <c r="H85" s="550"/>
      <c r="I85" s="550"/>
      <c r="J85" s="550"/>
    </row>
    <row r="86" spans="2:10" ht="33" customHeight="1" x14ac:dyDescent="0.3">
      <c r="B86" s="549"/>
      <c r="C86" s="544"/>
      <c r="D86" s="550"/>
      <c r="E86" s="550"/>
      <c r="F86" s="550"/>
      <c r="G86" s="550"/>
      <c r="H86" s="550"/>
      <c r="I86" s="550"/>
      <c r="J86" s="550"/>
    </row>
    <row r="87" spans="2:10" ht="33" customHeight="1" x14ac:dyDescent="0.3">
      <c r="B87" s="549"/>
      <c r="C87" s="544"/>
      <c r="D87" s="550"/>
      <c r="E87" s="550"/>
      <c r="F87" s="550"/>
      <c r="G87" s="550"/>
      <c r="H87" s="550"/>
      <c r="I87" s="550"/>
      <c r="J87" s="550"/>
    </row>
    <row r="88" spans="2:10" ht="33" customHeight="1" x14ac:dyDescent="0.3">
      <c r="B88" s="549"/>
      <c r="C88" s="544"/>
      <c r="D88" s="550"/>
      <c r="E88" s="550"/>
      <c r="F88" s="550"/>
      <c r="G88" s="550"/>
      <c r="H88" s="550"/>
      <c r="I88" s="550"/>
      <c r="J88" s="550"/>
    </row>
    <row r="89" spans="2:10" ht="33" customHeight="1" x14ac:dyDescent="0.3">
      <c r="B89" s="549"/>
      <c r="C89" s="544"/>
      <c r="D89" s="550"/>
      <c r="E89" s="550"/>
      <c r="F89" s="550"/>
      <c r="G89" s="550"/>
      <c r="H89" s="550"/>
      <c r="I89" s="550"/>
      <c r="J89" s="550"/>
    </row>
    <row r="90" spans="2:10" ht="33" customHeight="1" x14ac:dyDescent="0.3">
      <c r="B90" s="549"/>
      <c r="C90" s="544"/>
      <c r="D90" s="550"/>
      <c r="E90" s="550"/>
      <c r="F90" s="550"/>
      <c r="G90" s="550"/>
      <c r="H90" s="550"/>
      <c r="I90" s="550"/>
      <c r="J90" s="550"/>
    </row>
    <row r="91" spans="2:10" ht="33" customHeight="1" x14ac:dyDescent="0.3">
      <c r="B91" s="549"/>
      <c r="C91" s="544"/>
      <c r="D91" s="550"/>
      <c r="E91" s="550"/>
      <c r="F91" s="550"/>
      <c r="G91" s="550"/>
      <c r="H91" s="550"/>
      <c r="I91" s="550"/>
      <c r="J91" s="550"/>
    </row>
    <row r="92" spans="2:10" ht="33" customHeight="1" x14ac:dyDescent="0.3">
      <c r="B92" s="549"/>
      <c r="C92" s="544"/>
      <c r="D92" s="550"/>
      <c r="E92" s="550"/>
      <c r="F92" s="550"/>
      <c r="G92" s="550"/>
      <c r="H92" s="550"/>
      <c r="I92" s="550"/>
      <c r="J92" s="550"/>
    </row>
    <row r="93" spans="2:10" ht="33" customHeight="1" x14ac:dyDescent="0.3">
      <c r="B93" s="549"/>
      <c r="C93" s="544"/>
      <c r="D93" s="550"/>
      <c r="E93" s="550"/>
      <c r="F93" s="550"/>
      <c r="G93" s="550"/>
      <c r="H93" s="550"/>
      <c r="I93" s="550"/>
      <c r="J93" s="550"/>
    </row>
    <row r="94" spans="2:10" ht="33" customHeight="1" x14ac:dyDescent="0.3">
      <c r="B94" s="549"/>
      <c r="C94" s="544"/>
      <c r="D94" s="550"/>
      <c r="E94" s="550"/>
      <c r="F94" s="550"/>
      <c r="G94" s="550"/>
      <c r="H94" s="550"/>
      <c r="I94" s="550"/>
      <c r="J94" s="550"/>
    </row>
    <row r="95" spans="2:10" ht="33" customHeight="1" x14ac:dyDescent="0.3">
      <c r="B95" s="549"/>
      <c r="C95" s="544"/>
      <c r="D95" s="550"/>
      <c r="E95" s="550"/>
      <c r="F95" s="550"/>
      <c r="G95" s="550"/>
      <c r="H95" s="550"/>
      <c r="I95" s="550"/>
      <c r="J95" s="550"/>
    </row>
    <row r="96" spans="2:10" ht="33" customHeight="1" x14ac:dyDescent="0.3">
      <c r="B96" s="549"/>
      <c r="C96" s="544"/>
      <c r="D96" s="550"/>
      <c r="E96" s="550"/>
      <c r="F96" s="550"/>
      <c r="G96" s="550"/>
      <c r="H96" s="550"/>
      <c r="I96" s="550"/>
      <c r="J96" s="550"/>
    </row>
    <row r="97" spans="2:10" ht="33" customHeight="1" x14ac:dyDescent="0.3">
      <c r="B97" s="549"/>
      <c r="C97" s="544"/>
      <c r="D97" s="550"/>
      <c r="E97" s="550"/>
      <c r="F97" s="550"/>
      <c r="G97" s="550"/>
      <c r="H97" s="550"/>
      <c r="I97" s="550"/>
      <c r="J97" s="550"/>
    </row>
    <row r="98" spans="2:10" ht="33" customHeight="1" x14ac:dyDescent="0.3">
      <c r="B98" s="549"/>
      <c r="C98" s="544"/>
      <c r="D98" s="550"/>
      <c r="E98" s="550"/>
      <c r="F98" s="550"/>
      <c r="G98" s="550"/>
      <c r="H98" s="550"/>
      <c r="I98" s="550"/>
      <c r="J98" s="550"/>
    </row>
    <row r="99" spans="2:10" ht="33" customHeight="1" x14ac:dyDescent="0.3">
      <c r="B99" s="549"/>
      <c r="C99" s="544"/>
      <c r="D99" s="550"/>
      <c r="E99" s="550"/>
      <c r="F99" s="550"/>
      <c r="G99" s="550"/>
      <c r="H99" s="550"/>
      <c r="I99" s="550"/>
      <c r="J99" s="550"/>
    </row>
    <row r="100" spans="2:10" ht="33" customHeight="1" x14ac:dyDescent="0.3">
      <c r="B100" s="549"/>
      <c r="C100" s="544"/>
      <c r="D100" s="550"/>
      <c r="E100" s="550"/>
      <c r="F100" s="550"/>
      <c r="G100" s="550"/>
      <c r="H100" s="550"/>
      <c r="I100" s="550"/>
      <c r="J100" s="550"/>
    </row>
    <row r="101" spans="2:10" ht="33" customHeight="1" x14ac:dyDescent="0.3">
      <c r="B101" s="549"/>
      <c r="C101" s="544"/>
      <c r="D101" s="550"/>
      <c r="E101" s="550"/>
      <c r="F101" s="550"/>
      <c r="G101" s="550"/>
      <c r="H101" s="550"/>
      <c r="I101" s="550"/>
      <c r="J101" s="550"/>
    </row>
    <row r="102" spans="2:10" ht="33" customHeight="1" x14ac:dyDescent="0.3">
      <c r="B102" s="549"/>
      <c r="C102" s="544"/>
      <c r="D102" s="550"/>
      <c r="E102" s="550"/>
      <c r="F102" s="550"/>
      <c r="G102" s="550"/>
      <c r="H102" s="550"/>
      <c r="I102" s="550"/>
      <c r="J102" s="550"/>
    </row>
    <row r="103" spans="2:10" ht="33" customHeight="1" x14ac:dyDescent="0.3">
      <c r="B103" s="549"/>
      <c r="C103" s="544"/>
      <c r="D103" s="550"/>
      <c r="E103" s="550"/>
      <c r="F103" s="550"/>
      <c r="G103" s="550"/>
      <c r="H103" s="550"/>
      <c r="I103" s="550"/>
      <c r="J103" s="550"/>
    </row>
    <row r="104" spans="2:10" ht="33" customHeight="1" x14ac:dyDescent="0.3">
      <c r="B104" s="551"/>
      <c r="C104" s="544"/>
      <c r="D104" s="552"/>
      <c r="E104" s="552"/>
      <c r="F104" s="552"/>
      <c r="G104" s="552"/>
      <c r="H104" s="552"/>
      <c r="I104" s="552"/>
      <c r="J104" s="552"/>
    </row>
    <row r="105" spans="2:10" ht="33" customHeight="1" x14ac:dyDescent="0.3">
      <c r="B105" s="549"/>
      <c r="C105" s="544"/>
      <c r="D105" s="550"/>
      <c r="E105" s="550"/>
      <c r="F105" s="550"/>
      <c r="G105" s="550"/>
      <c r="H105" s="550"/>
      <c r="I105" s="550"/>
      <c r="J105" s="550"/>
    </row>
    <row r="106" spans="2:10" ht="33" customHeight="1" x14ac:dyDescent="0.3">
      <c r="B106" s="549"/>
      <c r="C106" s="544"/>
      <c r="D106" s="550"/>
      <c r="E106" s="550"/>
      <c r="F106" s="550"/>
      <c r="G106" s="550"/>
      <c r="H106" s="550"/>
      <c r="I106" s="550"/>
      <c r="J106" s="550"/>
    </row>
    <row r="107" spans="2:10" ht="33" customHeight="1" x14ac:dyDescent="0.3">
      <c r="B107" s="549"/>
      <c r="C107" s="544"/>
      <c r="D107" s="550"/>
      <c r="E107" s="550"/>
      <c r="F107" s="550"/>
      <c r="G107" s="550"/>
      <c r="H107" s="550"/>
      <c r="I107" s="550"/>
      <c r="J107" s="550"/>
    </row>
    <row r="108" spans="2:10" ht="33" customHeight="1" x14ac:dyDescent="0.3">
      <c r="B108" s="549"/>
      <c r="C108" s="544"/>
      <c r="D108" s="550"/>
      <c r="E108" s="550"/>
      <c r="F108" s="550"/>
      <c r="G108" s="550"/>
      <c r="H108" s="550"/>
      <c r="I108" s="550"/>
      <c r="J108" s="550"/>
    </row>
    <row r="109" spans="2:10" ht="33" customHeight="1" x14ac:dyDescent="0.3">
      <c r="B109" s="549"/>
      <c r="C109" s="544"/>
      <c r="D109" s="550"/>
      <c r="E109" s="550"/>
      <c r="F109" s="550"/>
      <c r="G109" s="550"/>
      <c r="H109" s="550"/>
      <c r="I109" s="550"/>
      <c r="J109" s="550"/>
    </row>
    <row r="110" spans="2:10" ht="33" customHeight="1" x14ac:dyDescent="0.3">
      <c r="B110" s="549"/>
      <c r="C110" s="544"/>
      <c r="D110" s="550"/>
      <c r="E110" s="550"/>
      <c r="F110" s="550"/>
      <c r="G110" s="550"/>
      <c r="H110" s="550"/>
      <c r="I110" s="550"/>
      <c r="J110" s="550"/>
    </row>
    <row r="111" spans="2:10" ht="33" customHeight="1" x14ac:dyDescent="0.3">
      <c r="B111" s="549"/>
      <c r="C111" s="544"/>
      <c r="D111" s="550"/>
      <c r="E111" s="550"/>
      <c r="F111" s="550"/>
      <c r="G111" s="550"/>
      <c r="H111" s="550"/>
      <c r="I111" s="550"/>
      <c r="J111" s="550"/>
    </row>
    <row r="112" spans="2:10" ht="33" customHeight="1" x14ac:dyDescent="0.3">
      <c r="B112" s="551"/>
      <c r="C112" s="544"/>
      <c r="D112" s="552"/>
      <c r="E112" s="552"/>
      <c r="F112" s="552"/>
      <c r="G112" s="552"/>
      <c r="H112" s="552"/>
      <c r="I112" s="552"/>
      <c r="J112" s="552"/>
    </row>
    <row r="113" spans="2:10" ht="33" customHeight="1" x14ac:dyDescent="0.3">
      <c r="B113" s="549"/>
      <c r="C113" s="544"/>
      <c r="D113" s="550"/>
      <c r="E113" s="550"/>
      <c r="F113" s="550"/>
      <c r="G113" s="550"/>
      <c r="H113" s="550"/>
      <c r="I113" s="550"/>
      <c r="J113" s="550"/>
    </row>
    <row r="114" spans="2:10" ht="33" customHeight="1" x14ac:dyDescent="0.3">
      <c r="B114" s="549"/>
      <c r="C114" s="544"/>
      <c r="D114" s="550"/>
      <c r="E114" s="550"/>
      <c r="F114" s="550"/>
      <c r="G114" s="550"/>
      <c r="H114" s="550"/>
      <c r="I114" s="550"/>
      <c r="J114" s="550"/>
    </row>
    <row r="115" spans="2:10" ht="33" customHeight="1" x14ac:dyDescent="0.3">
      <c r="B115" s="549"/>
      <c r="C115" s="544"/>
      <c r="D115" s="550"/>
      <c r="E115" s="550"/>
      <c r="F115" s="550"/>
      <c r="G115" s="550"/>
      <c r="H115" s="550"/>
      <c r="I115" s="550"/>
      <c r="J115" s="550"/>
    </row>
    <row r="116" spans="2:10" ht="33" customHeight="1" x14ac:dyDescent="0.3">
      <c r="B116" s="549"/>
      <c r="C116" s="544"/>
      <c r="D116" s="550"/>
      <c r="E116" s="550"/>
      <c r="F116" s="550"/>
      <c r="G116" s="550"/>
      <c r="H116" s="550"/>
      <c r="I116" s="550"/>
      <c r="J116" s="550"/>
    </row>
    <row r="117" spans="2:10" ht="33" customHeight="1" x14ac:dyDescent="0.3">
      <c r="B117" s="549"/>
      <c r="C117" s="544"/>
      <c r="D117" s="550"/>
      <c r="E117" s="550"/>
      <c r="F117" s="550"/>
      <c r="G117" s="550"/>
      <c r="H117" s="550"/>
      <c r="I117" s="550"/>
      <c r="J117" s="550"/>
    </row>
    <row r="118" spans="2:10" ht="33" customHeight="1" x14ac:dyDescent="0.3">
      <c r="B118" s="549"/>
      <c r="C118" s="544"/>
      <c r="D118" s="550"/>
      <c r="E118" s="550"/>
      <c r="F118" s="550"/>
      <c r="G118" s="550"/>
      <c r="H118" s="550"/>
      <c r="I118" s="550"/>
      <c r="J118" s="550"/>
    </row>
    <row r="119" spans="2:10" ht="33" customHeight="1" x14ac:dyDescent="0.3">
      <c r="B119" s="549"/>
      <c r="C119" s="544"/>
      <c r="D119" s="550"/>
      <c r="E119" s="550"/>
      <c r="F119" s="550"/>
      <c r="G119" s="550"/>
      <c r="H119" s="550"/>
      <c r="I119" s="550"/>
      <c r="J119" s="550"/>
    </row>
    <row r="120" spans="2:10" ht="33" customHeight="1" x14ac:dyDescent="0.3">
      <c r="B120" s="549"/>
      <c r="C120" s="544"/>
      <c r="D120" s="550"/>
      <c r="E120" s="550"/>
      <c r="F120" s="550"/>
      <c r="G120" s="550"/>
      <c r="H120" s="550"/>
      <c r="I120" s="550"/>
      <c r="J120" s="550"/>
    </row>
    <row r="121" spans="2:10" ht="33" customHeight="1" x14ac:dyDescent="0.3">
      <c r="B121" s="549"/>
      <c r="C121" s="544"/>
      <c r="D121" s="550"/>
      <c r="E121" s="550"/>
      <c r="F121" s="550"/>
      <c r="G121" s="550"/>
      <c r="H121" s="550"/>
      <c r="I121" s="550"/>
      <c r="J121" s="550"/>
    </row>
    <row r="122" spans="2:10" ht="33" customHeight="1" x14ac:dyDescent="0.3">
      <c r="B122" s="549"/>
      <c r="C122" s="544"/>
      <c r="D122" s="550"/>
      <c r="E122" s="550"/>
      <c r="F122" s="550"/>
      <c r="G122" s="550"/>
      <c r="H122" s="550"/>
      <c r="I122" s="550"/>
      <c r="J122" s="550"/>
    </row>
    <row r="123" spans="2:10" ht="33" customHeight="1" x14ac:dyDescent="0.3">
      <c r="B123" s="551"/>
      <c r="C123" s="544"/>
      <c r="D123" s="552"/>
      <c r="E123" s="552"/>
      <c r="F123" s="552"/>
      <c r="G123" s="552"/>
      <c r="H123" s="552"/>
      <c r="I123" s="552"/>
      <c r="J123" s="552"/>
    </row>
    <row r="124" spans="2:10" ht="33" customHeight="1" x14ac:dyDescent="0.3">
      <c r="B124" s="549"/>
      <c r="C124" s="544"/>
      <c r="D124" s="550"/>
      <c r="E124" s="550"/>
      <c r="F124" s="550"/>
      <c r="G124" s="550"/>
      <c r="H124" s="550"/>
      <c r="I124" s="550"/>
      <c r="J124" s="550"/>
    </row>
    <row r="125" spans="2:10" ht="33" customHeight="1" x14ac:dyDescent="0.3">
      <c r="B125" s="549"/>
      <c r="C125" s="544"/>
      <c r="D125" s="550"/>
      <c r="E125" s="550"/>
      <c r="F125" s="550"/>
      <c r="G125" s="550"/>
      <c r="H125" s="550"/>
      <c r="I125" s="550"/>
      <c r="J125" s="550"/>
    </row>
    <row r="126" spans="2:10" ht="33" customHeight="1" x14ac:dyDescent="0.3">
      <c r="B126" s="549"/>
      <c r="C126" s="544"/>
      <c r="D126" s="550"/>
      <c r="E126" s="550"/>
      <c r="F126" s="550"/>
      <c r="G126" s="550"/>
      <c r="H126" s="550"/>
      <c r="I126" s="550"/>
      <c r="J126" s="550"/>
    </row>
    <row r="127" spans="2:10" ht="33" customHeight="1" x14ac:dyDescent="0.3">
      <c r="B127" s="549"/>
      <c r="C127" s="544"/>
      <c r="D127" s="550"/>
      <c r="E127" s="550"/>
      <c r="F127" s="550"/>
      <c r="G127" s="550"/>
      <c r="H127" s="550"/>
      <c r="I127" s="550"/>
      <c r="J127" s="550"/>
    </row>
    <row r="128" spans="2:10" ht="33" customHeight="1" x14ac:dyDescent="0.3">
      <c r="B128" s="549"/>
      <c r="C128" s="544"/>
      <c r="D128" s="550"/>
      <c r="E128" s="550"/>
      <c r="F128" s="550"/>
      <c r="G128" s="550"/>
      <c r="H128" s="550"/>
      <c r="I128" s="550"/>
      <c r="J128" s="550"/>
    </row>
    <row r="129" spans="2:10" ht="33" customHeight="1" x14ac:dyDescent="0.3">
      <c r="B129" s="549"/>
      <c r="C129" s="544"/>
      <c r="D129" s="550"/>
      <c r="E129" s="550"/>
      <c r="F129" s="550"/>
      <c r="G129" s="550"/>
      <c r="H129" s="550"/>
      <c r="I129" s="550"/>
      <c r="J129" s="550"/>
    </row>
    <row r="130" spans="2:10" ht="33" customHeight="1" x14ac:dyDescent="0.3">
      <c r="B130" s="551"/>
      <c r="C130" s="544"/>
      <c r="D130" s="552"/>
      <c r="E130" s="552"/>
      <c r="F130" s="552"/>
      <c r="G130" s="552"/>
      <c r="H130" s="552"/>
      <c r="I130" s="552"/>
      <c r="J130" s="552"/>
    </row>
    <row r="131" spans="2:10" ht="33" customHeight="1" x14ac:dyDescent="0.3">
      <c r="B131" s="549"/>
      <c r="C131" s="544"/>
      <c r="D131" s="550"/>
      <c r="E131" s="550"/>
      <c r="F131" s="550"/>
      <c r="G131" s="550"/>
      <c r="H131" s="550"/>
      <c r="I131" s="550"/>
      <c r="J131" s="550"/>
    </row>
    <row r="132" spans="2:10" ht="33" customHeight="1" x14ac:dyDescent="0.3">
      <c r="B132" s="549"/>
      <c r="C132" s="544"/>
      <c r="D132" s="550"/>
      <c r="E132" s="550"/>
      <c r="F132" s="550"/>
      <c r="G132" s="550"/>
      <c r="H132" s="550"/>
      <c r="I132" s="550"/>
      <c r="J132" s="550"/>
    </row>
    <row r="133" spans="2:10" ht="33" customHeight="1" x14ac:dyDescent="0.3">
      <c r="B133" s="549"/>
      <c r="C133" s="544"/>
      <c r="D133" s="550"/>
      <c r="E133" s="550"/>
      <c r="F133" s="550"/>
      <c r="G133" s="550"/>
      <c r="H133" s="550"/>
      <c r="I133" s="550"/>
      <c r="J133" s="550"/>
    </row>
    <row r="134" spans="2:10" ht="33" customHeight="1" x14ac:dyDescent="0.3">
      <c r="B134" s="549"/>
      <c r="C134" s="544"/>
      <c r="D134" s="550"/>
      <c r="E134" s="550"/>
      <c r="F134" s="550"/>
      <c r="G134" s="550"/>
      <c r="H134" s="550"/>
      <c r="I134" s="550"/>
      <c r="J134" s="550"/>
    </row>
    <row r="135" spans="2:10" ht="33" customHeight="1" x14ac:dyDescent="0.3">
      <c r="B135" s="549"/>
      <c r="C135" s="544"/>
      <c r="D135" s="550"/>
      <c r="E135" s="550"/>
      <c r="F135" s="550"/>
      <c r="G135" s="550"/>
      <c r="H135" s="550"/>
      <c r="I135" s="550"/>
      <c r="J135" s="550"/>
    </row>
    <row r="136" spans="2:10" ht="33" customHeight="1" x14ac:dyDescent="0.3">
      <c r="B136" s="549"/>
      <c r="C136" s="544"/>
      <c r="D136" s="550"/>
      <c r="E136" s="550"/>
      <c r="F136" s="550"/>
      <c r="G136" s="550"/>
      <c r="H136" s="550"/>
      <c r="I136" s="550"/>
      <c r="J136" s="550"/>
    </row>
    <row r="137" spans="2:10" ht="33" customHeight="1" x14ac:dyDescent="0.3">
      <c r="B137" s="551"/>
      <c r="C137" s="544"/>
      <c r="D137" s="552"/>
      <c r="E137" s="552"/>
      <c r="F137" s="552"/>
      <c r="G137" s="552"/>
      <c r="H137" s="552"/>
      <c r="I137" s="552"/>
      <c r="J137" s="552"/>
    </row>
    <row r="138" spans="2:10" ht="33" customHeight="1" x14ac:dyDescent="0.3">
      <c r="B138" s="549"/>
      <c r="C138" s="544"/>
      <c r="D138" s="550"/>
      <c r="E138" s="550"/>
      <c r="F138" s="550"/>
      <c r="G138" s="550"/>
      <c r="H138" s="550"/>
      <c r="I138" s="550"/>
      <c r="J138" s="550"/>
    </row>
    <row r="139" spans="2:10" ht="33" customHeight="1" x14ac:dyDescent="0.3">
      <c r="B139" s="549"/>
      <c r="C139" s="544"/>
      <c r="D139" s="550"/>
      <c r="E139" s="550"/>
      <c r="F139" s="550"/>
      <c r="G139" s="550"/>
      <c r="H139" s="550"/>
      <c r="I139" s="550"/>
      <c r="J139" s="550"/>
    </row>
    <row r="140" spans="2:10" ht="33" customHeight="1" x14ac:dyDescent="0.3">
      <c r="B140" s="549"/>
      <c r="C140" s="544"/>
      <c r="D140" s="550"/>
      <c r="E140" s="550"/>
      <c r="F140" s="550"/>
      <c r="G140" s="550"/>
      <c r="H140" s="550"/>
      <c r="I140" s="550"/>
      <c r="J140" s="550"/>
    </row>
    <row r="141" spans="2:10" ht="33" customHeight="1" x14ac:dyDescent="0.3">
      <c r="B141" s="549"/>
      <c r="C141" s="544"/>
      <c r="D141" s="550"/>
      <c r="E141" s="550"/>
      <c r="F141" s="550"/>
      <c r="G141" s="550"/>
      <c r="H141" s="550"/>
      <c r="I141" s="550"/>
      <c r="J141" s="550"/>
    </row>
    <row r="142" spans="2:10" ht="33" customHeight="1" x14ac:dyDescent="0.3">
      <c r="B142" s="549"/>
      <c r="C142" s="544"/>
      <c r="D142" s="550"/>
      <c r="E142" s="550"/>
      <c r="F142" s="550"/>
      <c r="G142" s="550"/>
      <c r="H142" s="550"/>
      <c r="I142" s="550"/>
      <c r="J142" s="550"/>
    </row>
    <row r="143" spans="2:10" ht="33" customHeight="1" x14ac:dyDescent="0.3">
      <c r="B143" s="549"/>
      <c r="C143" s="544"/>
      <c r="D143" s="550"/>
      <c r="E143" s="550"/>
      <c r="F143" s="550"/>
      <c r="G143" s="550"/>
      <c r="H143" s="550"/>
      <c r="I143" s="550"/>
      <c r="J143" s="550"/>
    </row>
    <row r="144" spans="2:10" ht="33" customHeight="1" x14ac:dyDescent="0.3">
      <c r="B144" s="549"/>
      <c r="C144" s="544"/>
      <c r="D144" s="550"/>
      <c r="E144" s="550"/>
      <c r="F144" s="550"/>
      <c r="G144" s="550"/>
      <c r="H144" s="550"/>
      <c r="I144" s="550"/>
      <c r="J144" s="550"/>
    </row>
    <row r="145" spans="2:10" ht="33" customHeight="1" x14ac:dyDescent="0.3">
      <c r="B145" s="549"/>
      <c r="C145" s="544"/>
      <c r="D145" s="550"/>
      <c r="E145" s="550"/>
      <c r="F145" s="550"/>
      <c r="G145" s="550"/>
      <c r="H145" s="550"/>
      <c r="I145" s="550"/>
      <c r="J145" s="550"/>
    </row>
    <row r="146" spans="2:10" ht="33" customHeight="1" x14ac:dyDescent="0.3">
      <c r="B146" s="557"/>
      <c r="C146" s="544"/>
      <c r="D146" s="558"/>
      <c r="E146" s="558"/>
      <c r="F146" s="558"/>
      <c r="G146" s="558"/>
      <c r="H146" s="558"/>
      <c r="I146" s="558"/>
      <c r="J146" s="558"/>
    </row>
    <row r="147" spans="2:10" ht="33" customHeight="1" x14ac:dyDescent="0.3">
      <c r="B147" s="549"/>
      <c r="C147" s="544"/>
      <c r="D147" s="550"/>
      <c r="E147" s="550"/>
      <c r="F147" s="550"/>
      <c r="G147" s="550"/>
      <c r="H147" s="550"/>
      <c r="I147" s="550"/>
      <c r="J147" s="550"/>
    </row>
    <row r="148" spans="2:10" ht="33" customHeight="1" x14ac:dyDescent="0.3">
      <c r="B148" s="549"/>
      <c r="C148" s="544"/>
      <c r="D148" s="550"/>
      <c r="E148" s="550"/>
      <c r="F148" s="550"/>
      <c r="G148" s="550"/>
      <c r="H148" s="550"/>
      <c r="I148" s="550"/>
      <c r="J148" s="550"/>
    </row>
    <row r="149" spans="2:10" ht="33" customHeight="1" x14ac:dyDescent="0.3">
      <c r="B149" s="557"/>
      <c r="C149" s="544"/>
      <c r="D149" s="558"/>
      <c r="E149" s="558"/>
      <c r="F149" s="558"/>
      <c r="G149" s="558"/>
      <c r="H149" s="558"/>
      <c r="I149" s="558"/>
      <c r="J149" s="558"/>
    </row>
    <row r="150" spans="2:10" ht="33" customHeight="1" x14ac:dyDescent="0.3">
      <c r="B150" s="551"/>
      <c r="C150" s="544"/>
      <c r="D150" s="552"/>
      <c r="E150" s="552"/>
      <c r="F150" s="552"/>
      <c r="G150" s="552"/>
      <c r="H150" s="552"/>
      <c r="I150" s="552"/>
      <c r="J150" s="552"/>
    </row>
    <row r="151" spans="2:10" ht="33" customHeight="1" x14ac:dyDescent="0.3">
      <c r="B151" s="549"/>
      <c r="C151" s="544"/>
      <c r="D151" s="550"/>
      <c r="E151" s="550"/>
      <c r="F151" s="550"/>
      <c r="G151" s="550"/>
      <c r="H151" s="550"/>
      <c r="I151" s="550"/>
      <c r="J151" s="550"/>
    </row>
    <row r="152" spans="2:10" ht="33" customHeight="1" x14ac:dyDescent="0.3">
      <c r="B152" s="549"/>
      <c r="C152" s="544"/>
      <c r="D152" s="550"/>
      <c r="E152" s="550"/>
      <c r="F152" s="550"/>
      <c r="G152" s="550"/>
      <c r="H152" s="550"/>
      <c r="I152" s="550"/>
      <c r="J152" s="550"/>
    </row>
    <row r="153" spans="2:10" ht="33" customHeight="1" x14ac:dyDescent="0.3">
      <c r="B153" s="549"/>
      <c r="C153" s="544"/>
      <c r="D153" s="550"/>
      <c r="E153" s="550"/>
      <c r="F153" s="550"/>
      <c r="G153" s="550"/>
      <c r="H153" s="550"/>
      <c r="I153" s="550"/>
      <c r="J153" s="550"/>
    </row>
    <row r="154" spans="2:10" ht="33" customHeight="1" x14ac:dyDescent="0.3">
      <c r="B154" s="549"/>
      <c r="C154" s="544"/>
      <c r="D154" s="550"/>
      <c r="E154" s="550"/>
      <c r="F154" s="550"/>
      <c r="G154" s="550"/>
      <c r="H154" s="550"/>
      <c r="I154" s="550"/>
      <c r="J154" s="550"/>
    </row>
    <row r="155" spans="2:10" ht="33" customHeight="1" x14ac:dyDescent="0.3">
      <c r="B155" s="549"/>
      <c r="C155" s="544"/>
      <c r="D155" s="550"/>
      <c r="E155" s="550"/>
      <c r="F155" s="550"/>
      <c r="G155" s="550"/>
      <c r="H155" s="550"/>
      <c r="I155" s="550"/>
      <c r="J155" s="550"/>
    </row>
    <row r="156" spans="2:10" ht="33" customHeight="1" x14ac:dyDescent="0.3">
      <c r="B156" s="549"/>
      <c r="C156" s="544"/>
      <c r="D156" s="550"/>
      <c r="E156" s="550"/>
      <c r="F156" s="550"/>
      <c r="G156" s="550"/>
      <c r="H156" s="550"/>
      <c r="I156" s="550"/>
      <c r="J156" s="550"/>
    </row>
    <row r="157" spans="2:10" ht="33" customHeight="1" x14ac:dyDescent="0.3">
      <c r="B157" s="549"/>
      <c r="C157" s="544"/>
      <c r="D157" s="550"/>
      <c r="E157" s="550"/>
      <c r="F157" s="550"/>
      <c r="G157" s="550"/>
      <c r="H157" s="550"/>
      <c r="I157" s="550"/>
      <c r="J157" s="550"/>
    </row>
    <row r="158" spans="2:10" ht="33" customHeight="1" x14ac:dyDescent="0.3">
      <c r="B158" s="549"/>
      <c r="C158" s="544"/>
      <c r="D158" s="550"/>
      <c r="E158" s="550"/>
      <c r="F158" s="550"/>
      <c r="G158" s="550"/>
      <c r="H158" s="550"/>
      <c r="I158" s="550"/>
      <c r="J158" s="550"/>
    </row>
    <row r="159" spans="2:10" ht="33" customHeight="1" x14ac:dyDescent="0.3">
      <c r="B159" s="551"/>
      <c r="C159" s="544"/>
      <c r="D159" s="552"/>
      <c r="E159" s="552"/>
      <c r="F159" s="552"/>
      <c r="G159" s="552"/>
      <c r="H159" s="552"/>
      <c r="I159" s="552"/>
      <c r="J159" s="552"/>
    </row>
    <row r="160" spans="2:10" ht="33" customHeight="1" x14ac:dyDescent="0.3">
      <c r="B160" s="549"/>
      <c r="C160" s="544"/>
      <c r="D160" s="550"/>
      <c r="E160" s="550"/>
      <c r="F160" s="550"/>
      <c r="G160" s="550"/>
      <c r="H160" s="550"/>
      <c r="I160" s="550"/>
      <c r="J160" s="550"/>
    </row>
    <row r="161" spans="2:10" ht="33" customHeight="1" x14ac:dyDescent="0.3">
      <c r="B161" s="549"/>
      <c r="C161" s="544"/>
      <c r="D161" s="550"/>
      <c r="E161" s="550"/>
      <c r="F161" s="550"/>
      <c r="G161" s="550"/>
      <c r="H161" s="550"/>
      <c r="I161" s="550"/>
      <c r="J161" s="550"/>
    </row>
    <row r="162" spans="2:10" ht="33" customHeight="1" x14ac:dyDescent="0.3">
      <c r="B162" s="549"/>
      <c r="C162" s="544"/>
      <c r="D162" s="550"/>
      <c r="E162" s="550"/>
      <c r="F162" s="550"/>
      <c r="G162" s="550"/>
      <c r="H162" s="550"/>
      <c r="I162" s="550"/>
      <c r="J162" s="550"/>
    </row>
    <row r="163" spans="2:10" ht="33" customHeight="1" x14ac:dyDescent="0.3">
      <c r="B163" s="549"/>
      <c r="C163" s="544"/>
      <c r="D163" s="550"/>
      <c r="E163" s="550"/>
      <c r="F163" s="550"/>
      <c r="G163" s="550"/>
      <c r="H163" s="550"/>
      <c r="I163" s="550"/>
      <c r="J163" s="550"/>
    </row>
    <row r="164" spans="2:10" ht="33" customHeight="1" x14ac:dyDescent="0.3">
      <c r="B164" s="549"/>
      <c r="C164" s="544"/>
      <c r="D164" s="550"/>
      <c r="E164" s="550"/>
      <c r="F164" s="550"/>
      <c r="G164" s="550"/>
      <c r="H164" s="550"/>
      <c r="I164" s="550"/>
      <c r="J164" s="550"/>
    </row>
    <row r="165" spans="2:10" ht="33" customHeight="1" x14ac:dyDescent="0.3">
      <c r="B165" s="549"/>
      <c r="C165" s="544"/>
      <c r="D165" s="550"/>
      <c r="E165" s="550"/>
      <c r="F165" s="550"/>
      <c r="G165" s="550"/>
      <c r="H165" s="550"/>
      <c r="I165" s="550"/>
      <c r="J165" s="550"/>
    </row>
    <row r="166" spans="2:10" ht="33" customHeight="1" x14ac:dyDescent="0.3">
      <c r="B166" s="549"/>
      <c r="C166" s="544"/>
      <c r="D166" s="550"/>
      <c r="E166" s="550"/>
      <c r="F166" s="550"/>
      <c r="G166" s="550"/>
      <c r="H166" s="550"/>
      <c r="I166" s="550"/>
      <c r="J166" s="550"/>
    </row>
    <row r="167" spans="2:10" ht="33" customHeight="1" x14ac:dyDescent="0.3">
      <c r="B167" s="549"/>
      <c r="C167" s="544"/>
      <c r="D167" s="550"/>
      <c r="E167" s="550"/>
      <c r="F167" s="550"/>
      <c r="G167" s="550"/>
      <c r="H167" s="550"/>
      <c r="I167" s="550"/>
      <c r="J167" s="550"/>
    </row>
    <row r="168" spans="2:10" ht="33" customHeight="1" x14ac:dyDescent="0.3">
      <c r="B168" s="549"/>
      <c r="C168" s="544"/>
      <c r="D168" s="550"/>
      <c r="E168" s="550"/>
      <c r="F168" s="550"/>
      <c r="G168" s="550"/>
      <c r="H168" s="550"/>
      <c r="I168" s="550"/>
      <c r="J168" s="550"/>
    </row>
    <row r="169" spans="2:10" ht="33" customHeight="1" x14ac:dyDescent="0.3">
      <c r="B169" s="551"/>
      <c r="C169" s="544"/>
      <c r="D169" s="552"/>
      <c r="E169" s="552"/>
      <c r="F169" s="552"/>
      <c r="G169" s="552"/>
      <c r="H169" s="552"/>
      <c r="I169" s="552"/>
      <c r="J169" s="552"/>
    </row>
    <row r="170" spans="2:10" ht="33" customHeight="1" x14ac:dyDescent="0.3">
      <c r="B170" s="549"/>
      <c r="C170" s="544"/>
      <c r="D170" s="550"/>
      <c r="E170" s="550"/>
      <c r="F170" s="550"/>
      <c r="G170" s="550"/>
      <c r="H170" s="550"/>
      <c r="I170" s="550"/>
      <c r="J170" s="550"/>
    </row>
    <row r="171" spans="2:10" ht="33" customHeight="1" x14ac:dyDescent="0.3">
      <c r="B171" s="549"/>
      <c r="C171" s="544"/>
      <c r="D171" s="550"/>
      <c r="E171" s="550"/>
      <c r="F171" s="550"/>
      <c r="G171" s="550"/>
      <c r="H171" s="550"/>
      <c r="I171" s="550"/>
      <c r="J171" s="550"/>
    </row>
    <row r="172" spans="2:10" ht="33" customHeight="1" x14ac:dyDescent="0.3">
      <c r="B172" s="549"/>
      <c r="C172" s="544"/>
      <c r="D172" s="550"/>
      <c r="E172" s="550"/>
      <c r="F172" s="550"/>
      <c r="G172" s="550"/>
      <c r="H172" s="550"/>
      <c r="I172" s="550"/>
      <c r="J172" s="550"/>
    </row>
    <row r="173" spans="2:10" ht="33" customHeight="1" x14ac:dyDescent="0.3">
      <c r="B173" s="549"/>
      <c r="C173" s="544"/>
      <c r="D173" s="550"/>
      <c r="E173" s="550"/>
      <c r="F173" s="550"/>
      <c r="G173" s="550"/>
      <c r="H173" s="550"/>
      <c r="I173" s="550"/>
      <c r="J173" s="550"/>
    </row>
    <row r="174" spans="2:10" ht="33" customHeight="1" x14ac:dyDescent="0.3">
      <c r="B174" s="551"/>
      <c r="C174" s="544"/>
      <c r="D174" s="552"/>
      <c r="E174" s="552"/>
      <c r="F174" s="552"/>
      <c r="G174" s="552"/>
      <c r="H174" s="552"/>
      <c r="I174" s="552"/>
      <c r="J174" s="552"/>
    </row>
    <row r="175" spans="2:10" ht="33" customHeight="1" x14ac:dyDescent="0.3">
      <c r="B175" s="549"/>
      <c r="C175" s="544"/>
      <c r="D175" s="550"/>
      <c r="E175" s="550"/>
      <c r="F175" s="550"/>
      <c r="G175" s="550"/>
      <c r="H175" s="550"/>
      <c r="I175" s="550"/>
      <c r="J175" s="550"/>
    </row>
    <row r="176" spans="2:10" ht="33" customHeight="1" x14ac:dyDescent="0.3">
      <c r="B176" s="549"/>
      <c r="C176" s="544"/>
      <c r="D176" s="550"/>
      <c r="E176" s="550"/>
      <c r="F176" s="550"/>
      <c r="G176" s="550"/>
      <c r="H176" s="550"/>
      <c r="I176" s="550"/>
      <c r="J176" s="550"/>
    </row>
    <row r="177" spans="2:10" ht="33" customHeight="1" x14ac:dyDescent="0.3">
      <c r="B177" s="549"/>
      <c r="C177" s="544"/>
      <c r="D177" s="550"/>
      <c r="E177" s="550"/>
      <c r="F177" s="550"/>
      <c r="G177" s="550"/>
      <c r="H177" s="550"/>
      <c r="I177" s="550"/>
      <c r="J177" s="550"/>
    </row>
    <row r="178" spans="2:10" ht="33" customHeight="1" x14ac:dyDescent="0.3">
      <c r="B178" s="549"/>
      <c r="C178" s="544"/>
      <c r="D178" s="550"/>
      <c r="E178" s="550"/>
      <c r="F178" s="550"/>
      <c r="G178" s="550"/>
      <c r="H178" s="550"/>
      <c r="I178" s="550"/>
      <c r="J178" s="550"/>
    </row>
    <row r="179" spans="2:10" ht="33" customHeight="1" x14ac:dyDescent="0.3">
      <c r="B179" s="549"/>
      <c r="C179" s="544"/>
      <c r="D179" s="550"/>
      <c r="E179" s="550"/>
      <c r="F179" s="550"/>
      <c r="G179" s="550"/>
      <c r="H179" s="550"/>
      <c r="I179" s="550"/>
      <c r="J179" s="550"/>
    </row>
    <row r="180" spans="2:10" ht="33" customHeight="1" x14ac:dyDescent="0.3">
      <c r="B180" s="549"/>
      <c r="C180" s="544"/>
      <c r="D180" s="550"/>
      <c r="E180" s="550"/>
      <c r="F180" s="550"/>
      <c r="G180" s="550"/>
      <c r="H180" s="550"/>
      <c r="I180" s="550"/>
      <c r="J180" s="550"/>
    </row>
    <row r="181" spans="2:10" ht="33" customHeight="1" x14ac:dyDescent="0.3">
      <c r="B181" s="549"/>
      <c r="C181" s="544"/>
      <c r="D181" s="550"/>
      <c r="E181" s="550"/>
      <c r="F181" s="550"/>
      <c r="G181" s="550"/>
      <c r="H181" s="550"/>
      <c r="I181" s="550"/>
      <c r="J181" s="550"/>
    </row>
    <row r="182" spans="2:10" ht="33" customHeight="1" x14ac:dyDescent="0.3">
      <c r="B182" s="551"/>
      <c r="C182" s="544"/>
      <c r="D182" s="552"/>
      <c r="E182" s="552"/>
      <c r="F182" s="552"/>
      <c r="G182" s="552"/>
      <c r="H182" s="552"/>
      <c r="I182" s="552"/>
      <c r="J182" s="552"/>
    </row>
    <row r="183" spans="2:10" ht="33" customHeight="1" x14ac:dyDescent="0.3">
      <c r="B183" s="549"/>
      <c r="C183" s="544"/>
      <c r="D183" s="550"/>
      <c r="E183" s="550"/>
      <c r="F183" s="550"/>
      <c r="G183" s="550"/>
      <c r="H183" s="550"/>
      <c r="I183" s="550"/>
      <c r="J183" s="550"/>
    </row>
    <row r="184" spans="2:10" ht="33" customHeight="1" x14ac:dyDescent="0.3">
      <c r="B184" s="549"/>
      <c r="C184" s="544"/>
      <c r="D184" s="550"/>
      <c r="E184" s="550"/>
      <c r="F184" s="550"/>
      <c r="G184" s="550"/>
      <c r="H184" s="550"/>
      <c r="I184" s="550"/>
      <c r="J184" s="550"/>
    </row>
    <row r="185" spans="2:10" ht="33" customHeight="1" x14ac:dyDescent="0.3">
      <c r="B185" s="549"/>
      <c r="C185" s="544"/>
      <c r="D185" s="550"/>
      <c r="E185" s="550"/>
      <c r="F185" s="550"/>
      <c r="G185" s="550"/>
      <c r="H185" s="550"/>
      <c r="I185" s="550"/>
      <c r="J185" s="550"/>
    </row>
    <row r="186" spans="2:10" ht="33" customHeight="1" x14ac:dyDescent="0.3">
      <c r="B186" s="549"/>
      <c r="C186" s="544"/>
      <c r="D186" s="550"/>
      <c r="E186" s="550"/>
      <c r="F186" s="550"/>
      <c r="G186" s="550"/>
      <c r="H186" s="550"/>
      <c r="I186" s="550"/>
      <c r="J186" s="550"/>
    </row>
    <row r="187" spans="2:10" ht="33" customHeight="1" x14ac:dyDescent="0.3">
      <c r="B187" s="549"/>
      <c r="C187" s="544"/>
      <c r="D187" s="550"/>
      <c r="E187" s="550"/>
      <c r="F187" s="550"/>
      <c r="G187" s="550"/>
      <c r="H187" s="550"/>
      <c r="I187" s="550"/>
      <c r="J187" s="550"/>
    </row>
    <row r="188" spans="2:10" ht="33" customHeight="1" x14ac:dyDescent="0.3">
      <c r="B188" s="549"/>
      <c r="C188" s="544"/>
      <c r="D188" s="550"/>
      <c r="E188" s="550"/>
      <c r="F188" s="550"/>
      <c r="G188" s="550"/>
      <c r="H188" s="550"/>
      <c r="I188" s="550"/>
      <c r="J188" s="550"/>
    </row>
    <row r="189" spans="2:10" ht="33" customHeight="1" x14ac:dyDescent="0.3">
      <c r="B189" s="551"/>
      <c r="C189" s="544"/>
      <c r="D189" s="552"/>
      <c r="E189" s="552"/>
      <c r="F189" s="552"/>
      <c r="G189" s="552"/>
      <c r="H189" s="552"/>
      <c r="I189" s="552"/>
      <c r="J189" s="552"/>
    </row>
    <row r="190" spans="2:10" ht="33" customHeight="1" x14ac:dyDescent="0.3">
      <c r="B190" s="549"/>
      <c r="C190" s="544"/>
      <c r="D190" s="550"/>
      <c r="E190" s="550"/>
      <c r="F190" s="550"/>
      <c r="G190" s="550"/>
      <c r="H190" s="550"/>
      <c r="I190" s="550"/>
      <c r="J190" s="550"/>
    </row>
    <row r="191" spans="2:10" ht="33" customHeight="1" x14ac:dyDescent="0.3">
      <c r="B191" s="555"/>
      <c r="C191" s="544"/>
      <c r="D191" s="556"/>
      <c r="E191" s="556"/>
      <c r="F191" s="556"/>
      <c r="G191" s="556"/>
      <c r="H191" s="556"/>
      <c r="I191" s="556"/>
      <c r="J191" s="556"/>
    </row>
    <row r="192" spans="2:10" ht="33" customHeight="1" x14ac:dyDescent="0.3">
      <c r="B192" s="553"/>
      <c r="C192" s="544"/>
      <c r="D192" s="554"/>
      <c r="E192" s="554"/>
      <c r="F192" s="554"/>
      <c r="G192" s="554"/>
      <c r="H192" s="554"/>
      <c r="I192" s="554"/>
      <c r="J192" s="554"/>
    </row>
    <row r="193" spans="2:10" ht="33" customHeight="1" x14ac:dyDescent="0.3">
      <c r="B193" s="553"/>
      <c r="C193" s="544"/>
      <c r="D193" s="554"/>
      <c r="E193" s="554"/>
      <c r="F193" s="554"/>
      <c r="G193" s="554"/>
      <c r="H193" s="554"/>
      <c r="I193" s="554"/>
      <c r="J193" s="554"/>
    </row>
    <row r="194" spans="2:10" ht="33" customHeight="1" x14ac:dyDescent="0.3">
      <c r="B194" s="553"/>
      <c r="C194" s="544"/>
      <c r="D194" s="554"/>
      <c r="E194" s="554"/>
      <c r="F194" s="554"/>
      <c r="G194" s="554"/>
      <c r="H194" s="554"/>
      <c r="I194" s="554"/>
      <c r="J194" s="554"/>
    </row>
    <row r="195" spans="2:10" ht="33" customHeight="1" x14ac:dyDescent="0.3">
      <c r="B195" s="553"/>
      <c r="C195" s="544"/>
      <c r="D195" s="554"/>
      <c r="E195" s="554"/>
      <c r="F195" s="554"/>
      <c r="G195" s="554"/>
      <c r="H195" s="554"/>
      <c r="I195" s="554"/>
      <c r="J195" s="554"/>
    </row>
    <row r="196" spans="2:10" ht="33" customHeight="1" x14ac:dyDescent="0.3">
      <c r="B196" s="553"/>
      <c r="C196" s="544"/>
      <c r="D196" s="554"/>
      <c r="E196" s="554"/>
      <c r="F196" s="554"/>
      <c r="G196" s="554"/>
      <c r="H196" s="554"/>
      <c r="I196" s="554"/>
      <c r="J196" s="554"/>
    </row>
    <row r="197" spans="2:10" ht="33" customHeight="1" x14ac:dyDescent="0.3">
      <c r="B197" s="553"/>
      <c r="C197" s="544"/>
      <c r="D197" s="554"/>
      <c r="E197" s="554"/>
      <c r="F197" s="554"/>
      <c r="G197" s="554"/>
      <c r="H197" s="554"/>
      <c r="I197" s="554"/>
      <c r="J197" s="554"/>
    </row>
    <row r="198" spans="2:10" ht="33" customHeight="1" x14ac:dyDescent="0.3">
      <c r="B198" s="549"/>
      <c r="C198" s="544"/>
      <c r="D198" s="550"/>
      <c r="E198" s="550"/>
      <c r="F198" s="550"/>
      <c r="G198" s="550"/>
      <c r="H198" s="550"/>
      <c r="I198" s="550"/>
      <c r="J198" s="550"/>
    </row>
    <row r="199" spans="2:10" ht="33" customHeight="1" x14ac:dyDescent="0.3">
      <c r="B199" s="551"/>
      <c r="C199" s="544"/>
      <c r="D199" s="552"/>
      <c r="E199" s="552"/>
      <c r="F199" s="552"/>
      <c r="G199" s="552"/>
      <c r="H199" s="552"/>
      <c r="I199" s="552"/>
      <c r="J199" s="552"/>
    </row>
    <row r="200" spans="2:10" ht="33" customHeight="1" x14ac:dyDescent="0.3">
      <c r="B200" s="549"/>
      <c r="C200" s="544"/>
      <c r="D200" s="550"/>
      <c r="E200" s="550"/>
      <c r="F200" s="550"/>
      <c r="G200" s="550"/>
      <c r="H200" s="550"/>
      <c r="I200" s="550"/>
      <c r="J200" s="550"/>
    </row>
    <row r="201" spans="2:10" ht="33" customHeight="1" x14ac:dyDescent="0.3">
      <c r="B201" s="549"/>
      <c r="C201" s="544"/>
      <c r="D201" s="550"/>
      <c r="E201" s="550"/>
      <c r="F201" s="550"/>
      <c r="G201" s="550"/>
      <c r="H201" s="550"/>
      <c r="I201" s="550"/>
      <c r="J201" s="550"/>
    </row>
    <row r="202" spans="2:10" ht="33" customHeight="1" x14ac:dyDescent="0.3">
      <c r="B202" s="549"/>
      <c r="C202" s="544"/>
      <c r="D202" s="550"/>
      <c r="E202" s="550"/>
      <c r="F202" s="550"/>
      <c r="G202" s="550"/>
      <c r="H202" s="550"/>
      <c r="I202" s="550"/>
      <c r="J202" s="550"/>
    </row>
    <row r="203" spans="2:10" ht="33" customHeight="1" x14ac:dyDescent="0.3">
      <c r="B203" s="549"/>
      <c r="C203" s="544"/>
      <c r="D203" s="550"/>
      <c r="E203" s="550"/>
      <c r="F203" s="550"/>
      <c r="G203" s="550"/>
      <c r="H203" s="550"/>
      <c r="I203" s="550"/>
      <c r="J203" s="550"/>
    </row>
    <row r="204" spans="2:10" ht="33" customHeight="1" x14ac:dyDescent="0.3">
      <c r="B204" s="549"/>
      <c r="C204" s="544"/>
      <c r="D204" s="550"/>
      <c r="E204" s="550"/>
      <c r="F204" s="550"/>
      <c r="G204" s="550"/>
      <c r="H204" s="550"/>
      <c r="I204" s="550"/>
      <c r="J204" s="550"/>
    </row>
    <row r="205" spans="2:10" ht="33" customHeight="1" x14ac:dyDescent="0.3">
      <c r="B205" s="551"/>
      <c r="C205" s="544"/>
      <c r="D205" s="552"/>
      <c r="E205" s="552"/>
      <c r="F205" s="552"/>
      <c r="G205" s="552"/>
      <c r="H205" s="552"/>
      <c r="I205" s="552"/>
      <c r="J205" s="552"/>
    </row>
    <row r="206" spans="2:10" ht="33" customHeight="1" x14ac:dyDescent="0.3">
      <c r="B206" s="549"/>
      <c r="C206" s="544"/>
      <c r="D206" s="550"/>
      <c r="E206" s="550"/>
      <c r="F206" s="550"/>
      <c r="G206" s="550"/>
      <c r="H206" s="550"/>
      <c r="I206" s="550"/>
      <c r="J206" s="550"/>
    </row>
    <row r="207" spans="2:10" ht="33" customHeight="1" x14ac:dyDescent="0.3">
      <c r="B207" s="553"/>
      <c r="C207" s="544"/>
      <c r="D207" s="554"/>
      <c r="E207" s="554"/>
      <c r="F207" s="554"/>
      <c r="G207" s="554"/>
      <c r="H207" s="554"/>
      <c r="I207" s="554"/>
      <c r="J207" s="554"/>
    </row>
    <row r="208" spans="2:10" ht="33" customHeight="1" x14ac:dyDescent="0.3">
      <c r="B208" s="549"/>
      <c r="C208" s="544"/>
      <c r="D208" s="550"/>
      <c r="E208" s="550"/>
      <c r="F208" s="550"/>
      <c r="G208" s="550"/>
      <c r="H208" s="550"/>
      <c r="I208" s="550"/>
      <c r="J208" s="550"/>
    </row>
    <row r="209" spans="2:10" ht="33" customHeight="1" x14ac:dyDescent="0.3">
      <c r="B209" s="549"/>
      <c r="C209" s="544"/>
      <c r="D209" s="550"/>
      <c r="E209" s="550"/>
      <c r="F209" s="550"/>
      <c r="G209" s="550"/>
      <c r="H209" s="550"/>
      <c r="I209" s="550"/>
      <c r="J209" s="550"/>
    </row>
    <row r="210" spans="2:10" ht="33" customHeight="1" x14ac:dyDescent="0.3">
      <c r="B210" s="553"/>
      <c r="C210" s="544"/>
      <c r="D210" s="554"/>
      <c r="E210" s="554"/>
      <c r="F210" s="554"/>
      <c r="G210" s="554"/>
      <c r="H210" s="554"/>
      <c r="I210" s="554"/>
      <c r="J210" s="554"/>
    </row>
    <row r="211" spans="2:10" ht="33" customHeight="1" x14ac:dyDescent="0.3">
      <c r="B211" s="549"/>
      <c r="C211" s="544"/>
      <c r="D211" s="550"/>
      <c r="E211" s="550"/>
      <c r="F211" s="550"/>
      <c r="G211" s="550"/>
      <c r="H211" s="550"/>
      <c r="I211" s="550"/>
      <c r="J211" s="550"/>
    </row>
    <row r="212" spans="2:10" ht="33" customHeight="1" x14ac:dyDescent="0.3">
      <c r="B212" s="549"/>
      <c r="C212" s="544"/>
      <c r="D212" s="550"/>
      <c r="E212" s="550"/>
      <c r="F212" s="550"/>
      <c r="G212" s="550"/>
      <c r="H212" s="550"/>
      <c r="I212" s="550"/>
      <c r="J212" s="550"/>
    </row>
    <row r="213" spans="2:10" ht="33" customHeight="1" x14ac:dyDescent="0.3">
      <c r="B213" s="549"/>
      <c r="C213" s="544"/>
      <c r="D213" s="550"/>
      <c r="E213" s="550"/>
      <c r="F213" s="550"/>
      <c r="G213" s="550"/>
      <c r="H213" s="550"/>
      <c r="I213" s="550"/>
      <c r="J213" s="550"/>
    </row>
    <row r="214" spans="2:10" ht="33" customHeight="1" x14ac:dyDescent="0.3">
      <c r="B214" s="549"/>
      <c r="C214" s="544"/>
      <c r="D214" s="550"/>
      <c r="E214" s="550"/>
      <c r="F214" s="550"/>
      <c r="G214" s="550"/>
      <c r="H214" s="550"/>
      <c r="I214" s="550"/>
      <c r="J214" s="550"/>
    </row>
    <row r="215" spans="2:10" ht="33" customHeight="1" x14ac:dyDescent="0.3">
      <c r="B215" s="549"/>
      <c r="C215" s="544"/>
      <c r="D215" s="550"/>
      <c r="E215" s="550"/>
      <c r="F215" s="550"/>
      <c r="G215" s="550"/>
      <c r="H215" s="550"/>
      <c r="I215" s="550"/>
      <c r="J215" s="550"/>
    </row>
    <row r="216" spans="2:10" ht="33" customHeight="1" x14ac:dyDescent="0.3">
      <c r="B216" s="553"/>
      <c r="C216" s="544"/>
      <c r="D216" s="554"/>
      <c r="E216" s="554"/>
      <c r="F216" s="554"/>
      <c r="G216" s="554"/>
      <c r="H216" s="554"/>
      <c r="I216" s="554"/>
      <c r="J216" s="554"/>
    </row>
    <row r="217" spans="2:10" ht="33" customHeight="1" thickBot="1" x14ac:dyDescent="0.35">
      <c r="B217" s="559"/>
      <c r="C217" s="560"/>
      <c r="D217" s="561"/>
      <c r="E217" s="561"/>
      <c r="F217" s="561"/>
      <c r="G217" s="561"/>
      <c r="H217" s="561"/>
      <c r="I217" s="561"/>
      <c r="J217" s="561"/>
    </row>
    <row r="218" spans="2:10" ht="33" customHeight="1" thickTop="1" thickBot="1" x14ac:dyDescent="0.35">
      <c r="B218" s="563"/>
      <c r="C218" s="562"/>
      <c r="D218" s="564"/>
      <c r="E218" s="564"/>
      <c r="F218" s="564"/>
      <c r="G218" s="564"/>
      <c r="H218" s="564"/>
      <c r="I218" s="564"/>
      <c r="J218" s="564"/>
    </row>
    <row r="219" spans="2:10" ht="33" customHeight="1" x14ac:dyDescent="0.3">
      <c r="B219" s="199"/>
      <c r="C219" s="6"/>
      <c r="D219" s="199"/>
      <c r="E219" s="199"/>
      <c r="F219" s="199"/>
      <c r="G219" s="199"/>
      <c r="H219" s="199"/>
      <c r="I219" s="199"/>
      <c r="J219" s="199"/>
    </row>
    <row r="220" spans="2:10" ht="33" customHeight="1" x14ac:dyDescent="0.3">
      <c r="B220" s="475"/>
      <c r="C220" s="6"/>
      <c r="D220" s="199"/>
      <c r="E220" s="199"/>
      <c r="F220" s="199"/>
      <c r="G220" s="199"/>
      <c r="H220" s="199"/>
      <c r="I220" s="199"/>
      <c r="J220" s="199"/>
    </row>
    <row r="221" spans="2:10" ht="33" customHeight="1" x14ac:dyDescent="0.3">
      <c r="B221" s="2"/>
      <c r="C221" s="6"/>
      <c r="D221" s="200"/>
      <c r="E221" s="200"/>
      <c r="F221" s="200"/>
      <c r="G221" s="200"/>
      <c r="H221" s="200"/>
      <c r="I221" s="200"/>
      <c r="J221" s="200"/>
    </row>
    <row r="222" spans="2:10" ht="33" customHeight="1" x14ac:dyDescent="0.3">
      <c r="B222" s="201"/>
      <c r="C222" s="6"/>
      <c r="D222" s="201"/>
      <c r="E222" s="201"/>
      <c r="F222" s="201"/>
      <c r="G222" s="201"/>
      <c r="H222" s="201"/>
      <c r="I222" s="201"/>
      <c r="J222" s="201"/>
    </row>
    <row r="223" spans="2:10" ht="33" customHeight="1" x14ac:dyDescent="0.3">
      <c r="B223" s="201"/>
      <c r="C223" s="6"/>
      <c r="D223" s="201"/>
      <c r="E223" s="201"/>
      <c r="F223" s="201"/>
      <c r="G223" s="201"/>
      <c r="H223" s="201"/>
      <c r="I223" s="201"/>
      <c r="J223" s="201"/>
    </row>
    <row r="224" spans="2:10" ht="33" customHeight="1" x14ac:dyDescent="0.3">
      <c r="B224" s="475"/>
      <c r="C224" s="6"/>
      <c r="D224" s="201"/>
      <c r="E224" s="201"/>
      <c r="F224" s="201"/>
      <c r="G224" s="201"/>
      <c r="H224" s="201"/>
      <c r="I224" s="201"/>
      <c r="J224" s="201"/>
    </row>
    <row r="225" spans="2:10" ht="33" customHeight="1" x14ac:dyDescent="0.3">
      <c r="B225" s="568"/>
      <c r="C225" s="6"/>
      <c r="D225" s="201"/>
      <c r="E225" s="201"/>
      <c r="F225" s="201"/>
      <c r="G225" s="201"/>
      <c r="H225" s="201"/>
      <c r="I225" s="201"/>
      <c r="J225" s="201"/>
    </row>
    <row r="226" spans="2:10" ht="33" customHeight="1" x14ac:dyDescent="0.3">
      <c r="B226" s="2"/>
      <c r="C226" s="6"/>
      <c r="D226" s="201"/>
      <c r="E226" s="201"/>
      <c r="F226" s="201"/>
      <c r="G226" s="201"/>
      <c r="H226" s="201"/>
      <c r="I226" s="201"/>
      <c r="J226" s="201"/>
    </row>
    <row r="227" spans="2:10" ht="33" customHeight="1" x14ac:dyDescent="0.3">
      <c r="B227" s="569"/>
      <c r="C227" s="6"/>
      <c r="D227" s="201"/>
      <c r="E227" s="201"/>
      <c r="F227" s="201"/>
      <c r="G227" s="201"/>
      <c r="H227" s="201"/>
      <c r="I227" s="201"/>
      <c r="J227" s="201"/>
    </row>
    <row r="228" spans="2:10" ht="33" customHeight="1" x14ac:dyDescent="0.3">
      <c r="B228" s="569"/>
      <c r="C228" s="6"/>
      <c r="D228" s="201"/>
      <c r="E228" s="201"/>
      <c r="F228" s="201"/>
      <c r="G228" s="201"/>
      <c r="H228" s="201"/>
      <c r="I228" s="201"/>
      <c r="J228" s="201"/>
    </row>
    <row r="229" spans="2:10" ht="33" customHeight="1" x14ac:dyDescent="0.3">
      <c r="B229" s="571"/>
      <c r="C229" s="6"/>
      <c r="D229" s="571"/>
      <c r="E229" s="571"/>
      <c r="F229" s="571"/>
      <c r="G229" s="571"/>
      <c r="H229" s="571"/>
      <c r="I229" s="571"/>
      <c r="J229" s="571"/>
    </row>
    <row r="230" spans="2:10" ht="33" customHeight="1" x14ac:dyDescent="0.3">
      <c r="B230" s="571"/>
      <c r="C230" s="6"/>
      <c r="D230" s="571"/>
      <c r="E230" s="571"/>
      <c r="F230" s="571"/>
      <c r="G230" s="571"/>
      <c r="H230" s="571"/>
      <c r="I230" s="571"/>
      <c r="J230" s="571"/>
    </row>
    <row r="231" spans="2:10" ht="33" customHeight="1" x14ac:dyDescent="0.3">
      <c r="B231" s="201"/>
      <c r="C231" s="6"/>
      <c r="D231" s="201"/>
      <c r="E231" s="201"/>
      <c r="F231" s="201"/>
      <c r="G231" s="201"/>
      <c r="H231" s="201"/>
      <c r="I231" s="201"/>
      <c r="J231" s="201"/>
    </row>
    <row r="232" spans="2:10" ht="33" customHeight="1" x14ac:dyDescent="0.3">
      <c r="B232" s="201"/>
      <c r="C232" s="6"/>
      <c r="D232" s="201"/>
      <c r="E232" s="201"/>
      <c r="F232" s="201"/>
      <c r="G232" s="201"/>
      <c r="H232" s="201"/>
      <c r="I232" s="201"/>
      <c r="J232" s="201"/>
    </row>
    <row r="233" spans="2:10" ht="33" customHeight="1" x14ac:dyDescent="0.3">
      <c r="B233" s="201"/>
      <c r="C233" s="6"/>
      <c r="D233" s="201"/>
      <c r="E233" s="201"/>
      <c r="F233" s="201"/>
      <c r="G233" s="201"/>
      <c r="H233" s="201"/>
      <c r="I233" s="201"/>
      <c r="J233" s="201"/>
    </row>
    <row r="234" spans="2:10" ht="33" customHeight="1" x14ac:dyDescent="0.3">
      <c r="B234" s="201"/>
      <c r="C234" s="6"/>
      <c r="D234" s="201"/>
      <c r="E234" s="201"/>
      <c r="F234" s="201"/>
      <c r="G234" s="201"/>
      <c r="H234" s="201"/>
      <c r="I234" s="201"/>
      <c r="J234" s="201"/>
    </row>
    <row r="235" spans="2:10" ht="33" customHeight="1" x14ac:dyDescent="0.3">
      <c r="B235" s="190"/>
      <c r="C235" s="475"/>
      <c r="D235" s="190"/>
      <c r="E235" s="190"/>
      <c r="F235" s="190"/>
      <c r="G235" s="190"/>
      <c r="H235" s="190"/>
      <c r="I235" s="190"/>
      <c r="J235" s="190"/>
    </row>
    <row r="236" spans="2:10" ht="33" customHeight="1" x14ac:dyDescent="0.3">
      <c r="B236" s="190"/>
      <c r="C236" s="475"/>
      <c r="D236" s="190"/>
      <c r="E236" s="190"/>
      <c r="F236" s="190"/>
      <c r="G236" s="190"/>
      <c r="H236" s="190"/>
      <c r="I236" s="190"/>
      <c r="J236" s="190"/>
    </row>
    <row r="237" spans="2:10" ht="33" customHeight="1" x14ac:dyDescent="0.3">
      <c r="B237" s="190"/>
      <c r="C237" s="475"/>
      <c r="D237" s="190"/>
      <c r="E237" s="190"/>
      <c r="F237" s="190"/>
      <c r="G237" s="190"/>
      <c r="H237" s="190"/>
      <c r="I237" s="190"/>
      <c r="J237" s="190"/>
    </row>
    <row r="238" spans="2:10" ht="33" customHeight="1" x14ac:dyDescent="0.3">
      <c r="B238" s="190"/>
      <c r="C238" s="475"/>
      <c r="D238" s="190"/>
      <c r="E238" s="190"/>
      <c r="F238" s="190"/>
      <c r="G238" s="190"/>
      <c r="H238" s="190"/>
      <c r="I238" s="190"/>
      <c r="J238" s="19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Bevs(2000-2017)</vt:lpstr>
      <vt:lpstr>Oil(2003-2017) </vt:lpstr>
      <vt:lpstr>Tires(2007-2017)</vt:lpstr>
      <vt:lpstr>Paints-Flam-Pest(2000-2017)</vt:lpstr>
      <vt:lpstr>Elect(2007-2017)</vt:lpstr>
      <vt:lpstr>Lead-Acid Batteries (2012-2017)</vt:lpstr>
      <vt:lpstr>Pharm(2000-2017)</vt:lpstr>
      <vt:lpstr>PPP(2014-2017)</vt:lpstr>
      <vt:lpstr>BC Population Stats </vt:lpstr>
      <vt:lpstr>Program Financials</vt:lpstr>
      <vt:lpstr>Overview</vt:lpstr>
      <vt:lpstr> Program Collection (tonnes)</vt:lpstr>
      <vt:lpstr>Collection System</vt:lpstr>
      <vt:lpstr>'Bevs(2000-2017)'!Print_Area</vt:lpstr>
      <vt:lpstr>'Elect(2007-2017)'!Print_Area</vt:lpstr>
      <vt:lpstr>'Lead-Acid Batteries (2012-2017)'!Print_Area</vt:lpstr>
      <vt:lpstr>'Oil(2003-2017) '!Print_Area</vt:lpstr>
      <vt:lpstr>Overview!Print_Area</vt:lpstr>
      <vt:lpstr>'Paints-Flam-Pest(2000-2017)'!Print_Area</vt:lpstr>
      <vt:lpstr>'Pharm(2000-2017)'!Print_Area</vt:lpstr>
      <vt:lpstr>'Tires(2007-2017)'!Print_Area</vt:lpstr>
    </vt:vector>
  </TitlesOfParts>
  <Company>Province of British Columbia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DWLAWES</dc:creator>
  <cp:lastModifiedBy>Perkins, Genevieve FLNR:EX</cp:lastModifiedBy>
  <cp:lastPrinted>2016-01-12T23:59:44Z</cp:lastPrinted>
  <dcterms:created xsi:type="dcterms:W3CDTF">2010-06-02T22:16:37Z</dcterms:created>
  <dcterms:modified xsi:type="dcterms:W3CDTF">2019-06-05T23:45:01Z</dcterms:modified>
</cp:coreProperties>
</file>